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T:\M3_Challenge\2021\Challenge weekend\data\"/>
    </mc:Choice>
  </mc:AlternateContent>
  <xr:revisionPtr revIDLastSave="0" documentId="8_{5FB8AF3F-7177-4936-B23B-E0D406D703DB}" xr6:coauthVersionLast="41" xr6:coauthVersionMax="41" xr10:uidLastSave="{00000000-0000-0000-0000-000000000000}"/>
  <bookViews>
    <workbookView xWindow="57510" yWindow="-90" windowWidth="28980" windowHeight="15780" xr2:uid="{00000000-000D-0000-FFFF-FFFF00000000}"/>
  </bookViews>
  <sheets>
    <sheet name="D1" sheetId="1" r:id="rId1"/>
    <sheet name="D2" sheetId="2" r:id="rId2"/>
    <sheet name="D3" sheetId="3" r:id="rId3"/>
    <sheet name="D4" sheetId="4" r:id="rId4"/>
    <sheet name="D5" sheetId="5" r:id="rId5"/>
    <sheet name="D6" sheetId="6" r:id="rId6"/>
    <sheet name="D7" sheetId="7" r:id="rId7"/>
    <sheet name="D8 Region A" sheetId="10" r:id="rId8"/>
    <sheet name="D8 Region B" sheetId="11" r:id="rId9"/>
    <sheet name="D8 Region C" sheetId="12" r:id="rId10"/>
    <sheet name="D9" sheetId="8"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11" l="1"/>
  <c r="N25" i="11"/>
  <c r="M25" i="11"/>
  <c r="L25" i="11"/>
  <c r="K25" i="11"/>
  <c r="J25" i="11"/>
  <c r="I25" i="11"/>
  <c r="O24" i="11"/>
  <c r="N24" i="11"/>
  <c r="M24" i="11"/>
  <c r="L24" i="11"/>
  <c r="K24" i="11"/>
  <c r="J24" i="11"/>
  <c r="I24" i="11"/>
  <c r="H24" i="11"/>
  <c r="H24" i="10"/>
  <c r="H23" i="10"/>
  <c r="H22" i="10"/>
  <c r="M15" i="4" l="1"/>
  <c r="L15" i="4"/>
  <c r="K15" i="4"/>
  <c r="J15" i="4"/>
  <c r="M14" i="4"/>
  <c r="L14" i="4"/>
  <c r="K14" i="4"/>
  <c r="J14" i="4"/>
  <c r="M13" i="4"/>
  <c r="L13" i="4"/>
  <c r="K13" i="4"/>
  <c r="J13" i="4"/>
  <c r="M12" i="4"/>
  <c r="L12" i="4"/>
  <c r="K12" i="4"/>
  <c r="J12" i="4"/>
  <c r="M11" i="4"/>
  <c r="L11" i="4"/>
  <c r="K11" i="4"/>
  <c r="J11" i="4"/>
  <c r="M10" i="4"/>
  <c r="L10" i="4"/>
  <c r="K10" i="4"/>
  <c r="J10" i="4"/>
  <c r="G34" i="4"/>
  <c r="F34" i="4"/>
  <c r="E34" i="4"/>
  <c r="D34" i="4"/>
  <c r="G33" i="4"/>
  <c r="F33" i="4"/>
  <c r="E33" i="4"/>
  <c r="D33" i="4"/>
  <c r="G32" i="4"/>
  <c r="F32" i="4"/>
  <c r="E32" i="4"/>
  <c r="D32" i="4"/>
  <c r="G31" i="4"/>
  <c r="F31" i="4"/>
  <c r="E31" i="4"/>
  <c r="D31" i="4"/>
  <c r="G30" i="4"/>
  <c r="F30" i="4"/>
  <c r="E30" i="4"/>
  <c r="D30" i="4"/>
  <c r="G29" i="4"/>
  <c r="F29" i="4"/>
  <c r="E29" i="4"/>
  <c r="D29" i="4"/>
  <c r="G28" i="4"/>
  <c r="F28" i="4"/>
  <c r="E28" i="4"/>
  <c r="D28" i="4"/>
  <c r="G27" i="4"/>
  <c r="F27" i="4"/>
  <c r="E27" i="4"/>
  <c r="D27" i="4"/>
  <c r="G26" i="4"/>
  <c r="F26" i="4"/>
  <c r="E26" i="4"/>
  <c r="D26" i="4"/>
  <c r="C26" i="4"/>
  <c r="B26" i="4"/>
  <c r="G25" i="4"/>
  <c r="F25" i="4"/>
  <c r="E25" i="4"/>
  <c r="D25" i="4"/>
  <c r="C25" i="4"/>
  <c r="B25" i="4"/>
  <c r="G24" i="4"/>
  <c r="F24" i="4"/>
  <c r="E24" i="4"/>
  <c r="D24" i="4"/>
  <c r="C24" i="4"/>
  <c r="G20" i="4"/>
  <c r="F20" i="4"/>
  <c r="E20" i="4"/>
  <c r="D20" i="4"/>
  <c r="G19" i="4"/>
  <c r="F19" i="4"/>
  <c r="E19" i="4"/>
  <c r="D19" i="4"/>
  <c r="G18" i="4"/>
  <c r="F18" i="4"/>
  <c r="E18" i="4"/>
  <c r="D18" i="4"/>
  <c r="G17" i="4"/>
  <c r="F17" i="4"/>
  <c r="E17" i="4"/>
  <c r="D17" i="4"/>
  <c r="G16" i="4"/>
  <c r="F16" i="4"/>
  <c r="E16" i="4"/>
  <c r="D16" i="4"/>
  <c r="G15" i="4"/>
  <c r="F15" i="4"/>
  <c r="E15" i="4"/>
  <c r="D15" i="4"/>
  <c r="G14" i="4"/>
  <c r="F14" i="4"/>
  <c r="E14" i="4"/>
  <c r="D14" i="4"/>
  <c r="G13" i="4"/>
  <c r="F13" i="4"/>
  <c r="E13" i="4"/>
  <c r="D13" i="4"/>
  <c r="G12" i="4"/>
  <c r="F12" i="4"/>
  <c r="E12" i="4"/>
  <c r="D12" i="4"/>
  <c r="C12" i="4"/>
  <c r="B12" i="4"/>
  <c r="G11" i="4"/>
  <c r="F11" i="4"/>
  <c r="E11" i="4"/>
  <c r="D11" i="4"/>
  <c r="C11" i="4"/>
  <c r="B11" i="4"/>
  <c r="G10" i="4"/>
  <c r="F10" i="4"/>
  <c r="E10" i="4"/>
  <c r="D10" i="4"/>
  <c r="C10" i="4"/>
  <c r="B10" i="4"/>
  <c r="J21" i="1"/>
  <c r="I21" i="1"/>
  <c r="H21" i="1"/>
  <c r="G21" i="1"/>
  <c r="J20" i="1"/>
  <c r="I20" i="1"/>
  <c r="H20" i="1"/>
  <c r="G20" i="1"/>
  <c r="J19" i="1"/>
  <c r="I19" i="1"/>
  <c r="H19" i="1"/>
  <c r="G19" i="1"/>
  <c r="J18" i="1"/>
  <c r="H18" i="1"/>
  <c r="G18" i="1"/>
</calcChain>
</file>

<file path=xl/sharedStrings.xml><?xml version="1.0" encoding="utf-8"?>
<sst xmlns="http://schemas.openxmlformats.org/spreadsheetml/2006/main" count="422" uniqueCount="236">
  <si>
    <t>Ookla Data was not available before 2017, and Akamai's was not available after 2017. Since these sources differ in their measurement methodology, we provide both data points for 2017 for comparison.</t>
  </si>
  <si>
    <t>Average Download Speed (Mbps)</t>
  </si>
  <si>
    <t>Average Peak Download Speed (Mbps)</t>
  </si>
  <si>
    <t>Average Mobile Download Speed (Mbps)</t>
  </si>
  <si>
    <t>Average Peak Mobile Download Speed (Mbps)</t>
  </si>
  <si>
    <t>Historical Note</t>
  </si>
  <si>
    <t>Data Source</t>
  </si>
  <si>
    <t>Year</t>
  </si>
  <si>
    <t>US</t>
  </si>
  <si>
    <t>UK</t>
  </si>
  <si>
    <t>Ookla</t>
  </si>
  <si>
    <t>--</t>
  </si>
  <si>
    <t>(Initial 5G introduction to US, UK)</t>
  </si>
  <si>
    <t>Akamai</t>
  </si>
  <si>
    <t>(LTE-A introducted to UK)</t>
  </si>
  <si>
    <t>(4G introduced in UK)</t>
  </si>
  <si>
    <t>(4G introoduced in US)</t>
  </si>
  <si>
    <t>** Additional note on methodology. Akamai data provided seperate mobile download speeds for different broadband service providers (e.g. Verizon. AT&amp;T, TMobile in the US). Numbers reported above are unweigthed averages of these reported speeds.</t>
  </si>
  <si>
    <t>City</t>
  </si>
  <si>
    <t>Median Peak Download Speed (Mbps)</t>
  </si>
  <si>
    <t>Average Monthly Price, $</t>
  </si>
  <si>
    <t>Median Monthly Price, $</t>
  </si>
  <si>
    <t>Ammon, ID</t>
  </si>
  <si>
    <t>Atlanta, GA</t>
  </si>
  <si>
    <t>Chattanooga, TN</t>
  </si>
  <si>
    <t>Cleveland, OH</t>
  </si>
  <si>
    <t>Fort Collins, CO</t>
  </si>
  <si>
    <t>Kansas City, KS</t>
  </si>
  <si>
    <t>Kansas City, MO</t>
  </si>
  <si>
    <t>Lafayette, LA</t>
  </si>
  <si>
    <t>London</t>
  </si>
  <si>
    <t>Los Angeles, CA</t>
  </si>
  <si>
    <t>New York, NY</t>
  </si>
  <si>
    <t>San Francisco, CA</t>
  </si>
  <si>
    <t>Seattle, WA</t>
  </si>
  <si>
    <t>Washington, DC</t>
  </si>
  <si>
    <t>Wilson, NC</t>
  </si>
  <si>
    <t>Bristol, VA</t>
  </si>
  <si>
    <t>Note on Methodology: The above averages we directly available for the 2020 report. For the 2012 report, M3C computed the averages based on raw data. Wireless broadband plans were excluded.</t>
  </si>
  <si>
    <t xml:space="preserve">When two internet plans were offered by the same company with the same speed, only the cheaper plan was considered (typically this was the plan without additional TV or phone services added on). </t>
  </si>
  <si>
    <t>Less detailed data was available from OTI's 2014 report, but the following table of average wired internet plan prices across the US may be helpful. Averages were computed for various ranges of plan quality, in terms of Mbps download speed.</t>
  </si>
  <si>
    <t>Download Speed for Plan</t>
  </si>
  <si>
    <t>Median Monthly Price $</t>
  </si>
  <si>
    <t>4-6 Mbps</t>
  </si>
  <si>
    <t>15-20 Mbps</t>
  </si>
  <si>
    <t>30 Mbps</t>
  </si>
  <si>
    <t>50 Mbps</t>
  </si>
  <si>
    <t>100-150 Mbps</t>
  </si>
  <si>
    <t xml:space="preserve">The Ofcom 2020 report also provides data on the cost of wireless mobile broadband plans. </t>
  </si>
  <si>
    <t>This data is complicated by the fact that many plans have data caps and different limits on amount of call minutes and SMS messages that can be sent.</t>
  </si>
  <si>
    <t>Note that this data is for 4G plans, which typically provide download speeds of about 30Mbps.</t>
  </si>
  <si>
    <t>"Superfast Connection"</t>
  </si>
  <si>
    <t>&gt; 30Mbps, but &lt; 300Mbps peak download speed</t>
  </si>
  <si>
    <t>Package Type</t>
  </si>
  <si>
    <t>Monthly Price in £</t>
  </si>
  <si>
    <t xml:space="preserve">Date </t>
  </si>
  <si>
    <t>"Fast" Connection</t>
  </si>
  <si>
    <t>Price in £</t>
  </si>
  <si>
    <t>500 mins. calling, 150 SMS, 15GB data cap</t>
  </si>
  <si>
    <t>&lt; 30Mbps peak download speed</t>
  </si>
  <si>
    <t>100 mins calling, 75 SMS, 5GB data cap</t>
  </si>
  <si>
    <t>100 mins calling, 25 SMS, 3GB data cap</t>
  </si>
  <si>
    <t>200 mins. calling, 100 SMS, 1GB data cap</t>
  </si>
  <si>
    <t>We did not obtain such detailed data for the UK.</t>
  </si>
  <si>
    <t>1st Quarter of 2019</t>
  </si>
  <si>
    <t>Age Category</t>
  </si>
  <si>
    <t>Activity</t>
  </si>
  <si>
    <t>18-34</t>
  </si>
  <si>
    <t>35-49</t>
  </si>
  <si>
    <t>50-64</t>
  </si>
  <si>
    <t>65+</t>
  </si>
  <si>
    <t>Watching Traditional Television</t>
  </si>
  <si>
    <t>TV Connected Game Console</t>
  </si>
  <si>
    <t>TV Connected Internet Device**</t>
  </si>
  <si>
    <t>Internet on a Computer (not including video)</t>
  </si>
  <si>
    <t>Video on a Computer</t>
  </si>
  <si>
    <t>Total App/Web on a Smartphone</t>
  </si>
  <si>
    <t xml:space="preserve">      Video Focused App/Web on a Smartphone</t>
  </si>
  <si>
    <t xml:space="preserve">      Steaming Audio on a Smartphone</t>
  </si>
  <si>
    <t>Total App/Web on a Tablet</t>
  </si>
  <si>
    <t>1st Quarter of 2020</t>
  </si>
  <si>
    <t>** Definition from Nielson: "Devices connected to the TV that are used to stream content such as Apple TV, Roku, Google Chromecast, Amazon Fire TV, Smartphone, Computer/Laptops, etc. It is inclusive of Smart TV apps when used to represent device usage."</t>
  </si>
  <si>
    <t xml:space="preserve">Other demographic information besides age correlates with media consumption. </t>
  </si>
  <si>
    <t>Numbers are average hours per week for each type of media consumption, across US adults age 18+. Income is annual household income in thousands of US dollars.</t>
  </si>
  <si>
    <t>3rd Quarter 2015</t>
  </si>
  <si>
    <t>Income Category</t>
  </si>
  <si>
    <t>&lt; $25K</t>
  </si>
  <si>
    <t>$25k-50K</t>
  </si>
  <si>
    <t>$50k-75K</t>
  </si>
  <si>
    <t>&gt; $75K</t>
  </si>
  <si>
    <t xml:space="preserve">Total Internet on a Computer </t>
  </si>
  <si>
    <t>Percent of Households in Income Category</t>
  </si>
  <si>
    <t>Required Bandwidth</t>
  </si>
  <si>
    <t>General web surfing, email, social media</t>
  </si>
  <si>
    <t>1 Mbps</t>
  </si>
  <si>
    <t>Online gaming</t>
  </si>
  <si>
    <t>1-3 Mbps</t>
  </si>
  <si>
    <t>Video conferencing</t>
  </si>
  <si>
    <t>1-4 Mbps</t>
  </si>
  <si>
    <t>Standard definition video streaming</t>
  </si>
  <si>
    <t>3-4 Mbps</t>
  </si>
  <si>
    <t>High definition video streaming</t>
  </si>
  <si>
    <t>5-8 Mbps</t>
  </si>
  <si>
    <t>Frequent large file downloads</t>
  </si>
  <si>
    <t>50+ Mbps</t>
  </si>
  <si>
    <t>.5 Mbps</t>
  </si>
  <si>
    <t>.7 Mbps</t>
  </si>
  <si>
    <t>Minimum speed for HD streaming on YouTube.</t>
  </si>
  <si>
    <t>2.5 Mbps</t>
  </si>
  <si>
    <t>3.0 Mbps</t>
  </si>
  <si>
    <t>5.0 Mbps</t>
  </si>
  <si>
    <t>25 Mbps</t>
  </si>
  <si>
    <t>SD = Standard Definition (less than 720p), HD = High Definition (720p or better)</t>
  </si>
  <si>
    <t>Keep in mind that the advertised download speed of a residential internet connection is often higher than what is available to the end device (laptop, smart home device, etc.) which might be accessing the internet via Wifi.</t>
  </si>
  <si>
    <t>The data below gives information about percentage of college students taking online classes in the United States.</t>
  </si>
  <si>
    <t>This data was collected from the National Center for Education Statistics.  Use the links below to find more information.</t>
  </si>
  <si>
    <t>Percentage of undergraduate students enrolled in distance education or online classes and degree programs</t>
  </si>
  <si>
    <t>year</t>
  </si>
  <si>
    <t>Total, any distance education classes</t>
  </si>
  <si>
    <t>Entire degree program through distance education</t>
  </si>
  <si>
    <t>2003--04</t>
  </si>
  <si>
    <t>2007--08</t>
  </si>
  <si>
    <t>2011--12</t>
  </si>
  <si>
    <t>2015--16</t>
  </si>
  <si>
    <t>Fall 2018</t>
  </si>
  <si>
    <t>https://nces.ed.gov/fastfacts/display.asp?id=80</t>
  </si>
  <si>
    <t>https://nces.ed.gov/programs/digest/d19/tables/dt19_311.22.asp</t>
  </si>
  <si>
    <t>https://www.frbatlanta.org/blogs/macroblog/2020/05/28/firms-expect-working-from-home-to-triple</t>
  </si>
  <si>
    <t>Percentage of full-time employees that...</t>
  </si>
  <si>
    <t>Rarely or never</t>
  </si>
  <si>
    <t>1 full day per week</t>
  </si>
  <si>
    <t>2 to 4 full days per week</t>
  </si>
  <si>
    <t>5 full days per week</t>
  </si>
  <si>
    <t>Paid working days at home as a percent of all working days</t>
  </si>
  <si>
    <t>...worked from home in 2017--2018</t>
  </si>
  <si>
    <t>...worked from home in 2019</t>
  </si>
  <si>
    <t>...will work from home after the pandemic</t>
  </si>
  <si>
    <t>Band</t>
  </si>
  <si>
    <t>Frequency Hz</t>
  </si>
  <si>
    <t>Typical Download Speed</t>
  </si>
  <si>
    <t>Range of Single Node/Antenna</t>
  </si>
  <si>
    <t>Low</t>
  </si>
  <si>
    <t>600-700 MHz</t>
  </si>
  <si>
    <t>30-250 Mbps</t>
  </si>
  <si>
    <t>10-20 miles (16-32 km)</t>
  </si>
  <si>
    <t>Mid</t>
  </si>
  <si>
    <t>2.5/3.5 GHz</t>
  </si>
  <si>
    <t>100-900 Mbps</t>
  </si>
  <si>
    <t>2-3 miles (3.2 -4.8 km)</t>
  </si>
  <si>
    <t>High</t>
  </si>
  <si>
    <t>24-39 GHz</t>
  </si>
  <si>
    <t>1000-3000 Mbps</t>
  </si>
  <si>
    <t>.5-1 miles (.8-1.6 km)</t>
  </si>
  <si>
    <t>Region A</t>
  </si>
  <si>
    <t>Subregion 1</t>
  </si>
  <si>
    <t>Subregion 2</t>
  </si>
  <si>
    <t>Subregion 3</t>
  </si>
  <si>
    <t>Subregion 4</t>
  </si>
  <si>
    <t>Subregion 5</t>
  </si>
  <si>
    <t>Subregion 6</t>
  </si>
  <si>
    <t>population (number of people)</t>
  </si>
  <si>
    <t>median age (years)</t>
  </si>
  <si>
    <t>percentage of population under 5 years old</t>
  </si>
  <si>
    <t>percentage of population 5 to 9 years old</t>
  </si>
  <si>
    <t>percentage of population 10 to 14 years old</t>
  </si>
  <si>
    <t>percentage of population 15 to 19 years old</t>
  </si>
  <si>
    <t>percentage of population 20 to 24 years old</t>
  </si>
  <si>
    <t>percentage of population 25 to 34 years old</t>
  </si>
  <si>
    <t>percentage of population 35 to 44 years old</t>
  </si>
  <si>
    <t>percentage of population 45 to 54 years old</t>
  </si>
  <si>
    <t>percentage of population 55 to 59 years old</t>
  </si>
  <si>
    <t>percentage of population 60 to 64 years old</t>
  </si>
  <si>
    <t>percentage of population 65 to 74 years old</t>
  </si>
  <si>
    <t>percentage of population 75 to 84 years old</t>
  </si>
  <si>
    <t>percentage of population 85 years and over</t>
  </si>
  <si>
    <t>estimated median household income (dollars)</t>
  </si>
  <si>
    <t>cost of living index**</t>
  </si>
  <si>
    <t>percentage of residents living in poverty</t>
  </si>
  <si>
    <t>percentage of adults unemployed</t>
  </si>
  <si>
    <t>total number of households</t>
  </si>
  <si>
    <t>number of family households*</t>
  </si>
  <si>
    <t>number of non-family households*</t>
  </si>
  <si>
    <t>area (square miles)</t>
  </si>
  <si>
    <t>percentage of households that have a desktop or laptop computer</t>
  </si>
  <si>
    <t>percentage of households that have broadband internet service</t>
  </si>
  <si>
    <t>percentage of households that have a smartphone</t>
  </si>
  <si>
    <t>percentage of households that have a smartphone and no other computing device</t>
  </si>
  <si>
    <t>Region B</t>
  </si>
  <si>
    <t>Subregion 7</t>
  </si>
  <si>
    <t>Region C</t>
  </si>
  <si>
    <r>
      <t xml:space="preserve">Note that download speed typically varies during a single session using the internet. Akamai reports both average download speed and average </t>
    </r>
    <r>
      <rPr>
        <i/>
        <sz val="12"/>
        <color theme="1"/>
        <rFont val="Arial"/>
        <family val="2"/>
      </rPr>
      <t>peak</t>
    </r>
    <r>
      <rPr>
        <sz val="12"/>
        <color theme="1"/>
        <rFont val="Arial"/>
        <family val="2"/>
      </rPr>
      <t xml:space="preserve"> download speed, which is the fastest speed, averaged over all internet users.</t>
    </r>
  </si>
  <si>
    <r>
      <rPr>
        <sz val="12"/>
        <rFont val="Arial"/>
        <family val="2"/>
      </rPr>
      <t xml:space="preserve">Note that these cities are not necessarily representative of the entire US, and the data does not include urban or rural areas, and issue discussed in another OTI </t>
    </r>
    <r>
      <rPr>
        <u/>
        <sz val="12"/>
        <color rgb="FF1155CC"/>
        <rFont val="Arial"/>
        <family val="2"/>
      </rPr>
      <t>report</t>
    </r>
    <r>
      <rPr>
        <sz val="12"/>
        <rFont val="Arial"/>
        <family val="2"/>
      </rPr>
      <t>.</t>
    </r>
  </si>
  <si>
    <r>
      <rPr>
        <sz val="12"/>
        <color theme="1"/>
        <rFont val="Arial"/>
        <family val="2"/>
      </rPr>
      <t xml:space="preserve">In particular, some of these cities were chosen for comparison because they have </t>
    </r>
    <r>
      <rPr>
        <i/>
        <sz val="12"/>
        <color theme="1"/>
        <rFont val="Arial"/>
        <family val="2"/>
      </rPr>
      <t>municipal broadband utilities</t>
    </r>
    <r>
      <rPr>
        <sz val="12"/>
        <color theme="1"/>
        <rFont val="Arial"/>
        <family val="2"/>
      </rPr>
      <t xml:space="preserve">, which are rare in the US overall. </t>
    </r>
  </si>
  <si>
    <r>
      <t xml:space="preserve">Data is summarized below for the cost </t>
    </r>
    <r>
      <rPr>
        <i/>
        <sz val="12"/>
        <color theme="1"/>
        <rFont val="Arial"/>
        <family val="2"/>
      </rPr>
      <t xml:space="preserve">without TV service </t>
    </r>
    <r>
      <rPr>
        <sz val="12"/>
        <color theme="1"/>
        <rFont val="Arial"/>
        <family val="2"/>
      </rPr>
      <t>in the spreadsheet below (rounded to nearst £)</t>
    </r>
  </si>
  <si>
    <r>
      <t xml:space="preserve">The table below provides data on the </t>
    </r>
    <r>
      <rPr>
        <i/>
        <sz val="12"/>
        <color theme="1"/>
        <rFont val="Arial"/>
        <family val="2"/>
      </rPr>
      <t>average cost</t>
    </r>
    <r>
      <rPr>
        <sz val="12"/>
        <color theme="1"/>
        <rFont val="Arial"/>
        <family val="2"/>
      </rPr>
      <t xml:space="preserve"> of a mobile broadband subscription per month, for various limits on data, call minutes, etc.</t>
    </r>
  </si>
  <si>
    <r>
      <rPr>
        <sz val="12"/>
        <color rgb="FF000000"/>
        <rFont val="Arial"/>
        <family val="2"/>
      </rPr>
      <t xml:space="preserve">For discussion, refer to page 39 of the Ofcom report. </t>
    </r>
    <r>
      <rPr>
        <i/>
        <sz val="12"/>
        <color rgb="FF000000"/>
        <rFont val="Arial"/>
        <family val="2"/>
      </rPr>
      <t>Many mobile broadband providers are providing 5G service at no additional cost to slower 4G plans.</t>
    </r>
  </si>
  <si>
    <r>
      <t xml:space="preserve">The Nielsen Corporation release periodic reports on media consumption in the United States. These reports can be accessed from Nielsen's </t>
    </r>
    <r>
      <rPr>
        <u/>
        <sz val="12"/>
        <color rgb="FF1155CC"/>
        <rFont val="Arial"/>
        <family val="2"/>
      </rPr>
      <t>report hub.</t>
    </r>
  </si>
  <si>
    <r>
      <t xml:space="preserve">Below we summarize data from a </t>
    </r>
    <r>
      <rPr>
        <u/>
        <sz val="12"/>
        <color rgb="FF1155CC"/>
        <rFont val="Arial"/>
        <family val="2"/>
      </rPr>
      <t>2020 Report</t>
    </r>
    <r>
      <rPr>
        <sz val="12"/>
        <color rgb="FF000000"/>
        <rFont val="Arial"/>
        <family val="2"/>
      </rPr>
      <t xml:space="preserve"> and 2019 report. Numbers are average </t>
    </r>
    <r>
      <rPr>
        <i/>
        <sz val="12"/>
        <rFont val="Arial"/>
        <family val="2"/>
      </rPr>
      <t xml:space="preserve">hours per week </t>
    </r>
    <r>
      <rPr>
        <sz val="12"/>
        <color rgb="FF000000"/>
        <rFont val="Arial"/>
        <family val="2"/>
      </rPr>
      <t xml:space="preserve">for each type of media consumption, by age group. Not all data was available for the youngest age groups. </t>
    </r>
  </si>
  <si>
    <r>
      <t xml:space="preserve">Limited data on internet media consumption by urbanicity is available in a </t>
    </r>
    <r>
      <rPr>
        <u/>
        <sz val="12"/>
        <color rgb="FF1155CC"/>
        <rFont val="Arial"/>
        <family val="2"/>
      </rPr>
      <t>2017 report.</t>
    </r>
  </si>
  <si>
    <r>
      <t xml:space="preserve">The data in the table below comes from a 2017 </t>
    </r>
    <r>
      <rPr>
        <u/>
        <sz val="12"/>
        <color rgb="FF1155CC"/>
        <rFont val="Arial"/>
        <family val="2"/>
      </rPr>
      <t>Nerd Wallet Report</t>
    </r>
    <r>
      <rPr>
        <sz val="12"/>
        <color rgb="FF000000"/>
        <rFont val="Arial"/>
        <family val="2"/>
      </rPr>
      <t xml:space="preserve"> that includes general guidance on the bandwidth (in megabits per second) needed for typical activities.</t>
    </r>
  </si>
  <si>
    <r>
      <t xml:space="preserve">The data in the table below comes from a 2019 </t>
    </r>
    <r>
      <rPr>
        <u/>
        <sz val="12"/>
        <color rgb="FF1155CC"/>
        <rFont val="Arial"/>
        <family val="2"/>
      </rPr>
      <t>CBTNuggets report that</t>
    </r>
    <r>
      <rPr>
        <sz val="12"/>
        <color rgb="FF000000"/>
        <rFont val="Arial"/>
        <family val="2"/>
      </rPr>
      <t xml:space="preserve"> contains more detailed information on streaming video.</t>
    </r>
  </si>
  <si>
    <r>
      <t xml:space="preserve">Minimum </t>
    </r>
    <r>
      <rPr>
        <i/>
        <sz val="12"/>
        <color theme="1"/>
        <rFont val="Arial"/>
        <family val="2"/>
      </rPr>
      <t>required</t>
    </r>
    <r>
      <rPr>
        <sz val="12"/>
        <color theme="1"/>
        <rFont val="Arial"/>
        <family val="2"/>
      </rPr>
      <t xml:space="preserve"> speed for Netflix video streaming.</t>
    </r>
  </si>
  <si>
    <r>
      <t>Minimum</t>
    </r>
    <r>
      <rPr>
        <i/>
        <sz val="12"/>
        <color theme="1"/>
        <rFont val="Arial"/>
        <family val="2"/>
      </rPr>
      <t xml:space="preserve"> </t>
    </r>
    <r>
      <rPr>
        <sz val="12"/>
        <color theme="1"/>
        <rFont val="Arial"/>
        <family val="2"/>
      </rPr>
      <t xml:space="preserve">speed for SD streaming with YouTube. </t>
    </r>
  </si>
  <si>
    <r>
      <t xml:space="preserve">Netflix </t>
    </r>
    <r>
      <rPr>
        <i/>
        <sz val="12"/>
        <color theme="1"/>
        <rFont val="Arial"/>
        <family val="2"/>
      </rPr>
      <t>recommendation</t>
    </r>
    <r>
      <rPr>
        <sz val="12"/>
        <color theme="1"/>
        <rFont val="Arial"/>
        <family val="2"/>
      </rPr>
      <t xml:space="preserve"> for SD video streaming.</t>
    </r>
  </si>
  <si>
    <r>
      <t xml:space="preserve">Netflix </t>
    </r>
    <r>
      <rPr>
        <i/>
        <sz val="12"/>
        <color theme="1"/>
        <rFont val="Arial"/>
        <family val="2"/>
      </rPr>
      <t>recommendation</t>
    </r>
    <r>
      <rPr>
        <sz val="12"/>
        <color theme="1"/>
        <rFont val="Arial"/>
        <family val="2"/>
      </rPr>
      <t xml:space="preserve"> for HD video streaming.</t>
    </r>
  </si>
  <si>
    <r>
      <t xml:space="preserve">Netflix </t>
    </r>
    <r>
      <rPr>
        <i/>
        <sz val="12"/>
        <color theme="1"/>
        <rFont val="Arial"/>
        <family val="2"/>
      </rPr>
      <t>recommendation</t>
    </r>
    <r>
      <rPr>
        <sz val="12"/>
        <color theme="1"/>
        <rFont val="Arial"/>
        <family val="2"/>
      </rPr>
      <t xml:space="preserve"> for Ultra HD (4K) video streaming.</t>
    </r>
  </si>
  <si>
    <r>
      <t xml:space="preserve">As discussed in this </t>
    </r>
    <r>
      <rPr>
        <u/>
        <sz val="12"/>
        <color rgb="FF1155CC"/>
        <rFont val="Arial"/>
        <family val="2"/>
      </rPr>
      <t>Broadband Now article</t>
    </r>
    <r>
      <rPr>
        <sz val="12"/>
        <color rgb="FF000000"/>
        <rFont val="Arial"/>
        <family val="2"/>
      </rPr>
      <t>, "The average WiFi speed you experience around your home will generally be anywhere from 20–50% below the advertised maximum download speed, due to wireless interference and fade as you move further from the router."</t>
    </r>
  </si>
  <si>
    <t>D8--Region C</t>
  </si>
  <si>
    <t>D8--Region B</t>
  </si>
  <si>
    <t>D8--Region A</t>
  </si>
  <si>
    <t>D4--Internet Media Consumption</t>
  </si>
  <si>
    <r>
      <rPr>
        <sz val="12"/>
        <rFont val="Arial"/>
        <family val="2"/>
      </rPr>
      <t xml:space="preserve">The UK Office of Communications (OfCom) 2020 report provides a rich dataset on bandwidth pricing in the UK. It is available </t>
    </r>
    <r>
      <rPr>
        <u/>
        <sz val="12"/>
        <color rgb="FF1155CC"/>
        <rFont val="Arial"/>
        <family val="2"/>
      </rPr>
      <t>here.</t>
    </r>
  </si>
  <si>
    <r>
      <rPr>
        <sz val="12"/>
        <rFont val="Arial"/>
        <family val="2"/>
      </rPr>
      <t>Below we provide data on</t>
    </r>
    <r>
      <rPr>
        <i/>
        <sz val="12"/>
        <rFont val="Arial"/>
        <family val="2"/>
      </rPr>
      <t xml:space="preserve"> average download speeds </t>
    </r>
    <r>
      <rPr>
        <sz val="12"/>
        <color rgb="FF000000"/>
        <rFont val="Arial"/>
        <family val="2"/>
      </rPr>
      <t>for internet users in the US and UK from 2009-2017, which was compiled from two sources: Akamai's 2009-2017</t>
    </r>
    <r>
      <rPr>
        <u/>
        <sz val="12"/>
        <color rgb="FF1155CC"/>
        <rFont val="Arial"/>
        <family val="2"/>
      </rPr>
      <t xml:space="preserve"> State of the Internet Reports</t>
    </r>
    <r>
      <rPr>
        <sz val="12"/>
        <color rgb="FF000000"/>
        <rFont val="Arial"/>
        <family val="2"/>
      </rPr>
      <t xml:space="preserve"> and </t>
    </r>
    <r>
      <rPr>
        <u/>
        <sz val="12"/>
        <color rgb="FF1155CC"/>
        <rFont val="Arial"/>
        <family val="2"/>
      </rPr>
      <t>Ookla's Global Connectivity Data.</t>
    </r>
  </si>
  <si>
    <t>The speed of both wired and wireless internet avialable to residential customers in the United States and United Kingdom has increased substantially over the years, meaning customers now get more value (in terms of Mbps) from a typical internet plan.</t>
  </si>
  <si>
    <r>
      <t xml:space="preserve">The Open Techology Institute's "Cost of Connectivity" Report (available from </t>
    </r>
    <r>
      <rPr>
        <u/>
        <sz val="12"/>
        <color rgb="FF1155CC"/>
        <rFont val="Arial"/>
        <family val="2"/>
      </rPr>
      <t>2020</t>
    </r>
    <r>
      <rPr>
        <sz val="12"/>
        <color rgb="FF000000"/>
        <rFont val="Arial"/>
        <family val="2"/>
      </rPr>
      <t xml:space="preserve">, </t>
    </r>
    <r>
      <rPr>
        <u/>
        <sz val="12"/>
        <color rgb="FF1155CC"/>
        <rFont val="Arial"/>
        <family val="2"/>
      </rPr>
      <t>2014</t>
    </r>
    <r>
      <rPr>
        <sz val="12"/>
        <color rgb="FF000000"/>
        <rFont val="Arial"/>
        <family val="2"/>
      </rPr>
      <t xml:space="preserve">, </t>
    </r>
    <r>
      <rPr>
        <u/>
        <sz val="12"/>
        <color rgb="FF1155CC"/>
        <rFont val="Arial"/>
        <family val="2"/>
      </rPr>
      <t>2012</t>
    </r>
    <r>
      <rPr>
        <sz val="12"/>
        <color rgb="FF000000"/>
        <rFont val="Arial"/>
        <family val="2"/>
      </rPr>
      <t>) provides data on average residential internet plan prices for a subset of cities in the United States.</t>
    </r>
  </si>
  <si>
    <r>
      <t xml:space="preserve">Prices for even 5G connections are only just starting to emerge. In the UK, these connections provide roughly 200 Mbps in bandwidth. See the data </t>
    </r>
    <r>
      <rPr>
        <u/>
        <sz val="12"/>
        <color theme="4"/>
        <rFont val="Arial"/>
        <family val="2"/>
      </rPr>
      <t>here</t>
    </r>
    <r>
      <rPr>
        <sz val="12"/>
        <color theme="1"/>
        <rFont val="Arial"/>
        <family val="2"/>
      </rPr>
      <t>.</t>
    </r>
  </si>
  <si>
    <t>1--Differences by Age</t>
  </si>
  <si>
    <t>2--Differences by Household Income</t>
  </si>
  <si>
    <r>
      <t xml:space="preserve">Below we include data from a </t>
    </r>
    <r>
      <rPr>
        <u/>
        <sz val="12"/>
        <color rgb="FF1155CC"/>
        <rFont val="Arial"/>
        <family val="2"/>
      </rPr>
      <t>2015 Nielsen report</t>
    </r>
    <r>
      <rPr>
        <sz val="12"/>
        <color rgb="FF000000"/>
        <rFont val="Arial"/>
        <family val="2"/>
      </rPr>
      <t xml:space="preserve"> (the most recent report with such data) on consumption of various media types by individuals with different income levels.</t>
    </r>
  </si>
  <si>
    <t>Different internet activities require different amounts of bandwidth. We include several reference points below.</t>
  </si>
  <si>
    <t>D5--Bandwith requirements for various activities</t>
  </si>
  <si>
    <t>D2--Cost for bandwidth (US,wired)</t>
  </si>
  <si>
    <t>D3--Cost for bandwidth (UK, wired and wireless)</t>
  </si>
  <si>
    <t>1--Cost for bandwidth in the UK, wired</t>
  </si>
  <si>
    <t>2--Cost for bandwidth in the UK, wireless mobile</t>
  </si>
  <si>
    <t>D1--Average bandwidth in the US and UK</t>
  </si>
  <si>
    <t>D6--Online education statistics</t>
  </si>
  <si>
    <t>The data in the table below indicates percentage of full-time employees in the United States working from home pre-COVID 19 pandemic, and the percentage who plan to work from home post-pandemic.</t>
  </si>
  <si>
    <r>
      <t xml:space="preserve">The data is mentioned in </t>
    </r>
    <r>
      <rPr>
        <u/>
        <sz val="12"/>
        <color theme="4"/>
        <rFont val="Arial"/>
        <family val="2"/>
      </rPr>
      <t>this article</t>
    </r>
    <r>
      <rPr>
        <sz val="12"/>
        <color theme="1"/>
        <rFont val="Arial"/>
        <family val="2"/>
      </rPr>
      <t xml:space="preserve"> and the article at the link below, and comes from the </t>
    </r>
    <r>
      <rPr>
        <i/>
        <sz val="12"/>
        <color theme="1"/>
        <rFont val="Arial"/>
        <family val="2"/>
      </rPr>
      <t>Survey of Business Uncertainty</t>
    </r>
    <r>
      <rPr>
        <sz val="12"/>
        <color theme="1"/>
        <rFont val="Arial"/>
        <family val="2"/>
      </rPr>
      <t>, as gathered from the US Bureau of Labor Statistics.</t>
    </r>
  </si>
  <si>
    <t>D7--work from home statistics</t>
  </si>
  <si>
    <t>D9--Mobile broadband frequency band characteristics</t>
  </si>
  <si>
    <t>Note that cell towers/nodes can transmit mobile broadband data, including 4G and 5G, on any of three ranges (bands) of frequency spectrum -- low-, medium-, and high-band. There is an inherent tradeoff between the range of a signal transmitted on each band and the amount of bandwidth it can provide to the customer.</t>
  </si>
  <si>
    <r>
      <t xml:space="preserve">The data below were obtained from a </t>
    </r>
    <r>
      <rPr>
        <u/>
        <sz val="12"/>
        <color theme="4"/>
        <rFont val="Arial"/>
        <family val="2"/>
      </rPr>
      <t>2019 Venture Beat article.</t>
    </r>
  </si>
  <si>
    <t xml:space="preserve">Note:  The definitions of low-, mid-, and high-bands depending on which data source you use.  Also, speed and range can be highly variable, due, for example, to the presence of buildings that interupt signal. </t>
  </si>
  <si>
    <t>*We define a family household as consisting of two or more individuals who are related by birth, marriage or adoption, although they may include other unrelated people.  Nonfamily households consist of people who live alone or who share their residence with unrelated individuals.</t>
  </si>
  <si>
    <t>**Assume that the average cost of living index value is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</si>
</sst>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yyyy"/>
    <numFmt numFmtId="166" formatCode="m\-d"/>
  </numFmts>
  <fonts count="28">
    <font>
      <sz val="10"/>
      <color rgb="FF000000"/>
      <name val="Arial"/>
    </font>
    <font>
      <sz val="12"/>
      <color theme="1"/>
      <name val="Arial"/>
      <family val="2"/>
      <scheme val="minor"/>
    </font>
    <font>
      <sz val="12"/>
      <color theme="1"/>
      <name val="Arial"/>
      <family val="2"/>
      <scheme val="minor"/>
    </font>
    <font>
      <sz val="12"/>
      <color rgb="FF000000"/>
      <name val="Calibri"/>
      <family val="2"/>
    </font>
    <font>
      <sz val="12"/>
      <color rgb="FF000000"/>
      <name val="Arial"/>
      <family val="2"/>
      <scheme val="minor"/>
    </font>
    <font>
      <b/>
      <sz val="12"/>
      <color theme="1"/>
      <name val="Arial"/>
      <family val="2"/>
    </font>
    <font>
      <sz val="12"/>
      <color rgb="FF000000"/>
      <name val="Arial"/>
      <family val="2"/>
    </font>
    <font>
      <sz val="12"/>
      <color theme="1"/>
      <name val="Arial"/>
      <family val="2"/>
    </font>
    <font>
      <u/>
      <sz val="12"/>
      <color rgb="FF0000FF"/>
      <name val="Arial"/>
      <family val="2"/>
    </font>
    <font>
      <i/>
      <sz val="12"/>
      <name val="Arial"/>
      <family val="2"/>
    </font>
    <font>
      <u/>
      <sz val="12"/>
      <color rgb="FF1155CC"/>
      <name val="Arial"/>
      <family val="2"/>
    </font>
    <font>
      <i/>
      <sz val="12"/>
      <color theme="1"/>
      <name val="Arial"/>
      <family val="2"/>
    </font>
    <font>
      <sz val="12"/>
      <name val="Arial"/>
      <family val="2"/>
    </font>
    <font>
      <b/>
      <u/>
      <sz val="12"/>
      <color rgb="FF0000FF"/>
      <name val="Arial"/>
      <family val="2"/>
    </font>
    <font>
      <sz val="12"/>
      <color rgb="FF000000"/>
      <name val="Roboto"/>
    </font>
    <font>
      <i/>
      <sz val="12"/>
      <color rgb="FF000000"/>
      <name val="Arial"/>
      <family val="2"/>
    </font>
    <font>
      <b/>
      <sz val="16"/>
      <color theme="1"/>
      <name val="Arial"/>
      <family val="2"/>
    </font>
    <font>
      <b/>
      <sz val="12"/>
      <color rgb="FF000000"/>
      <name val="Calibri"/>
      <family val="2"/>
    </font>
    <font>
      <b/>
      <i/>
      <sz val="12"/>
      <color theme="1"/>
      <name val="Arial"/>
      <family val="2"/>
    </font>
    <font>
      <b/>
      <sz val="12"/>
      <name val="Arial"/>
      <family val="2"/>
    </font>
    <font>
      <u/>
      <sz val="10"/>
      <color theme="10"/>
      <name val="Arial"/>
    </font>
    <font>
      <b/>
      <sz val="12"/>
      <color theme="1"/>
      <name val="Arial"/>
      <family val="2"/>
      <scheme val="minor"/>
    </font>
    <font>
      <sz val="16"/>
      <color rgb="FF000000"/>
      <name val="Arial"/>
      <family val="2"/>
    </font>
    <font>
      <b/>
      <sz val="16"/>
      <color rgb="FF000000"/>
      <name val="Arial"/>
      <family val="2"/>
    </font>
    <font>
      <u/>
      <sz val="12"/>
      <color theme="4"/>
      <name val="Arial"/>
      <family val="2"/>
    </font>
    <font>
      <b/>
      <sz val="14"/>
      <color theme="1"/>
      <name val="Arial"/>
      <family val="2"/>
    </font>
    <font>
      <sz val="14"/>
      <color theme="1"/>
      <name val="Arial"/>
      <family val="2"/>
    </font>
    <font>
      <sz val="14"/>
      <color rgb="FF000000"/>
      <name val="Arial"/>
      <family val="2"/>
    </font>
  </fonts>
  <fills count="3">
    <fill>
      <patternFill patternType="none"/>
    </fill>
    <fill>
      <patternFill patternType="gray125"/>
    </fill>
    <fill>
      <patternFill patternType="solid">
        <fgColor rgb="FFFFFFFF"/>
        <bgColor rgb="FFFFFFFF"/>
      </patternFill>
    </fill>
  </fills>
  <borders count="1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20" fillId="0" borderId="0" applyNumberFormat="0" applyFill="0" applyBorder="0" applyAlignment="0" applyProtection="0"/>
  </cellStyleXfs>
  <cellXfs count="96">
    <xf numFmtId="0" fontId="0" fillId="0" borderId="0" xfId="0" applyFont="1" applyAlignment="1"/>
    <xf numFmtId="0" fontId="2" fillId="0" borderId="0" xfId="1"/>
    <xf numFmtId="0" fontId="2" fillId="0" borderId="17" xfId="1" applyBorder="1"/>
    <xf numFmtId="0" fontId="2" fillId="0" borderId="17" xfId="1" applyBorder="1" applyAlignment="1">
      <alignment horizontal="right"/>
    </xf>
    <xf numFmtId="0" fontId="4" fillId="0" borderId="17" xfId="1" applyFont="1" applyBorder="1" applyAlignment="1">
      <alignment horizontal="right"/>
    </xf>
    <xf numFmtId="0" fontId="2" fillId="0" borderId="17" xfId="1" quotePrefix="1" applyBorder="1"/>
    <xf numFmtId="0" fontId="2" fillId="0" borderId="18" xfId="1" applyBorder="1"/>
    <xf numFmtId="3" fontId="2" fillId="0" borderId="17" xfId="1" applyNumberFormat="1" applyBorder="1"/>
    <xf numFmtId="0" fontId="6" fillId="0" borderId="0" xfId="0" applyFont="1" applyAlignment="1"/>
    <xf numFmtId="0" fontId="7" fillId="0" borderId="0" xfId="0" applyFont="1" applyAlignment="1">
      <alignment wrapText="1"/>
    </xf>
    <xf numFmtId="0" fontId="5" fillId="0" borderId="3" xfId="0" applyFont="1" applyBorder="1" applyAlignment="1">
      <alignment wrapText="1"/>
    </xf>
    <xf numFmtId="0" fontId="5" fillId="0" borderId="3" xfId="0" applyFont="1" applyBorder="1" applyAlignment="1"/>
    <xf numFmtId="0" fontId="7" fillId="0" borderId="3" xfId="0" applyFont="1" applyBorder="1"/>
    <xf numFmtId="0" fontId="7" fillId="0" borderId="3" xfId="0" applyFont="1" applyBorder="1" applyAlignment="1"/>
    <xf numFmtId="164" fontId="7" fillId="0" borderId="3" xfId="0" applyNumberFormat="1" applyFont="1" applyBorder="1"/>
    <xf numFmtId="0" fontId="5" fillId="0" borderId="0" xfId="0" applyFont="1" applyAlignment="1"/>
    <xf numFmtId="0" fontId="5" fillId="0" borderId="4" xfId="0" applyFont="1" applyBorder="1" applyAlignment="1">
      <alignment wrapText="1"/>
    </xf>
    <xf numFmtId="0" fontId="7" fillId="0" borderId="6" xfId="0" applyFont="1" applyBorder="1"/>
    <xf numFmtId="1" fontId="7" fillId="0" borderId="6" xfId="0" applyNumberFormat="1" applyFont="1" applyBorder="1"/>
    <xf numFmtId="0" fontId="7" fillId="0" borderId="7" xfId="0" applyFont="1" applyBorder="1"/>
    <xf numFmtId="1" fontId="7" fillId="0" borderId="3" xfId="0" applyNumberFormat="1" applyFont="1" applyBorder="1"/>
    <xf numFmtId="0" fontId="7" fillId="0" borderId="9" xfId="0" applyFont="1" applyBorder="1"/>
    <xf numFmtId="0" fontId="7" fillId="0" borderId="11" xfId="0" applyFont="1" applyBorder="1"/>
    <xf numFmtId="1" fontId="7" fillId="0" borderId="11" xfId="0" applyNumberFormat="1" applyFont="1" applyBorder="1"/>
    <xf numFmtId="0" fontId="7" fillId="0" borderId="12" xfId="0" applyFont="1" applyBorder="1"/>
    <xf numFmtId="0" fontId="7" fillId="0" borderId="6" xfId="0" applyFont="1" applyBorder="1" applyAlignment="1"/>
    <xf numFmtId="0" fontId="7" fillId="0" borderId="11" xfId="0" applyFont="1" applyBorder="1" applyAlignment="1"/>
    <xf numFmtId="0" fontId="5" fillId="0" borderId="0" xfId="0" applyFont="1" applyAlignment="1">
      <alignment horizontal="right"/>
    </xf>
    <xf numFmtId="0" fontId="5" fillId="0" borderId="0" xfId="0" applyFont="1" applyAlignment="1">
      <alignment horizontal="left"/>
    </xf>
    <xf numFmtId="0" fontId="7" fillId="0" borderId="0" xfId="0" applyFont="1" applyAlignment="1"/>
    <xf numFmtId="0" fontId="5" fillId="0" borderId="0" xfId="0" applyFont="1" applyAlignment="1">
      <alignment wrapText="1"/>
    </xf>
    <xf numFmtId="0" fontId="7" fillId="0" borderId="3" xfId="0" applyFont="1" applyBorder="1" applyAlignment="1">
      <alignment horizontal="right"/>
    </xf>
    <xf numFmtId="165" fontId="7" fillId="0" borderId="3" xfId="0" applyNumberFormat="1" applyFont="1" applyBorder="1" applyAlignment="1"/>
    <xf numFmtId="165" fontId="7" fillId="0" borderId="0" xfId="0" applyNumberFormat="1" applyFont="1" applyAlignment="1"/>
    <xf numFmtId="0" fontId="14" fillId="2" borderId="0" xfId="0" applyFont="1" applyFill="1" applyAlignment="1"/>
    <xf numFmtId="166" fontId="5" fillId="0" borderId="3" xfId="0" applyNumberFormat="1" applyFont="1" applyBorder="1" applyAlignment="1"/>
    <xf numFmtId="4" fontId="14" fillId="2" borderId="3" xfId="0" applyNumberFormat="1" applyFont="1" applyFill="1" applyBorder="1" applyAlignment="1"/>
    <xf numFmtId="4" fontId="7" fillId="0" borderId="3" xfId="0" applyNumberFormat="1" applyFont="1" applyBorder="1" applyAlignment="1"/>
    <xf numFmtId="4" fontId="7" fillId="0" borderId="3" xfId="0" applyNumberFormat="1" applyFont="1" applyBorder="1"/>
    <xf numFmtId="4" fontId="7" fillId="0" borderId="0" xfId="0" applyNumberFormat="1" applyFont="1" applyAlignment="1"/>
    <xf numFmtId="20" fontId="7" fillId="0" borderId="0" xfId="0" applyNumberFormat="1" applyFont="1" applyAlignment="1"/>
    <xf numFmtId="46" fontId="7" fillId="0" borderId="0" xfId="0" applyNumberFormat="1" applyFont="1" applyAlignment="1"/>
    <xf numFmtId="4" fontId="7" fillId="0" borderId="0" xfId="0" applyNumberFormat="1" applyFont="1"/>
    <xf numFmtId="0" fontId="8" fillId="0" borderId="0" xfId="0" applyFont="1" applyAlignment="1"/>
    <xf numFmtId="0" fontId="16" fillId="0" borderId="0" xfId="0" applyFont="1" applyAlignment="1"/>
    <xf numFmtId="0" fontId="5" fillId="0" borderId="0" xfId="0" applyFont="1"/>
    <xf numFmtId="0" fontId="7" fillId="0" borderId="0" xfId="0" applyFont="1"/>
    <xf numFmtId="0" fontId="17" fillId="0" borderId="3" xfId="0" applyFont="1" applyBorder="1" applyAlignment="1">
      <alignment wrapText="1"/>
    </xf>
    <xf numFmtId="0" fontId="3" fillId="0" borderId="3" xfId="0" applyFont="1" applyBorder="1" applyAlignment="1"/>
    <xf numFmtId="0" fontId="3" fillId="0" borderId="3" xfId="0" applyFont="1" applyBorder="1" applyAlignment="1">
      <alignment horizontal="right"/>
    </xf>
    <xf numFmtId="0" fontId="18" fillId="0" borderId="0" xfId="0" applyFont="1" applyAlignment="1">
      <alignment wrapText="1"/>
    </xf>
    <xf numFmtId="0" fontId="19" fillId="0" borderId="3" xfId="0" applyFont="1" applyBorder="1" applyAlignment="1">
      <alignment horizontal="center" wrapText="1"/>
    </xf>
    <xf numFmtId="0" fontId="18" fillId="0" borderId="3" xfId="0" applyFont="1" applyBorder="1" applyAlignment="1">
      <alignment horizontal="right" wrapText="1"/>
    </xf>
    <xf numFmtId="0" fontId="19" fillId="0" borderId="3" xfId="0" applyFont="1" applyBorder="1"/>
    <xf numFmtId="0" fontId="12" fillId="0" borderId="3" xfId="0" applyFont="1" applyBorder="1"/>
    <xf numFmtId="0" fontId="12" fillId="0" borderId="3" xfId="0" applyFont="1" applyBorder="1" applyAlignment="1"/>
    <xf numFmtId="0" fontId="21" fillId="0" borderId="0" xfId="1" applyFont="1" applyAlignment="1">
      <alignment horizontal="left"/>
    </xf>
    <xf numFmtId="0" fontId="21" fillId="0" borderId="0" xfId="1" applyFont="1"/>
    <xf numFmtId="0" fontId="22" fillId="0" borderId="0" xfId="0" applyFont="1" applyAlignment="1"/>
    <xf numFmtId="0" fontId="23" fillId="0" borderId="0" xfId="0" applyFont="1" applyAlignment="1"/>
    <xf numFmtId="0" fontId="6"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xf numFmtId="0" fontId="0" fillId="0" borderId="0" xfId="0" applyFont="1" applyAlignment="1">
      <alignment wrapText="1"/>
    </xf>
    <xf numFmtId="0" fontId="1" fillId="0" borderId="0" xfId="1" applyFont="1" applyAlignment="1">
      <alignment horizontal="left" wrapText="1"/>
    </xf>
    <xf numFmtId="0" fontId="1" fillId="0" borderId="0" xfId="1" applyFont="1" applyAlignment="1">
      <alignment horizontal="left"/>
    </xf>
    <xf numFmtId="0" fontId="7" fillId="0" borderId="0" xfId="0" applyFont="1" applyAlignment="1">
      <alignment wrapText="1"/>
    </xf>
    <xf numFmtId="0" fontId="6" fillId="0" borderId="0" xfId="0" applyFont="1" applyAlignment="1"/>
    <xf numFmtId="0" fontId="7" fillId="0" borderId="1" xfId="0" applyFont="1" applyBorder="1" applyAlignment="1">
      <alignment wrapText="1"/>
    </xf>
    <xf numFmtId="0" fontId="12" fillId="0" borderId="2" xfId="0" applyFont="1" applyBorder="1"/>
    <xf numFmtId="0" fontId="5" fillId="0" borderId="0" xfId="0" applyFont="1" applyAlignment="1">
      <alignment wrapText="1"/>
    </xf>
    <xf numFmtId="0" fontId="8" fillId="0" borderId="0" xfId="0" applyFont="1" applyAlignment="1">
      <alignment wrapText="1"/>
    </xf>
    <xf numFmtId="0" fontId="6" fillId="2" borderId="0" xfId="0" applyFont="1" applyFill="1" applyAlignment="1">
      <alignment horizontal="left" wrapText="1"/>
    </xf>
    <xf numFmtId="0" fontId="13" fillId="0" borderId="0" xfId="0" applyFont="1" applyAlignment="1">
      <alignment wrapText="1"/>
    </xf>
    <xf numFmtId="0" fontId="5" fillId="0" borderId="5" xfId="0" applyFont="1" applyBorder="1" applyAlignment="1">
      <alignment horizontal="center" vertical="center" textRotation="90"/>
    </xf>
    <xf numFmtId="0" fontId="12" fillId="0" borderId="8" xfId="0" applyFont="1" applyBorder="1"/>
    <xf numFmtId="0" fontId="12" fillId="0" borderId="10" xfId="0" applyFont="1" applyBorder="1"/>
    <xf numFmtId="0" fontId="6" fillId="0" borderId="0" xfId="0" applyFont="1" applyAlignment="1">
      <alignment wrapText="1"/>
    </xf>
    <xf numFmtId="0" fontId="14" fillId="2" borderId="0" xfId="0" applyFont="1" applyFill="1" applyAlignment="1">
      <alignment wrapText="1"/>
    </xf>
    <xf numFmtId="0" fontId="5" fillId="0" borderId="1" xfId="0" applyFont="1" applyBorder="1" applyAlignment="1"/>
    <xf numFmtId="0" fontId="12" fillId="0" borderId="13" xfId="0" applyFont="1" applyBorder="1"/>
    <xf numFmtId="0" fontId="7" fillId="0" borderId="1" xfId="0" applyFont="1" applyBorder="1" applyAlignment="1"/>
    <xf numFmtId="0" fontId="7" fillId="2" borderId="0" xfId="2" applyFont="1" applyFill="1" applyAlignment="1">
      <alignment wrapText="1"/>
    </xf>
    <xf numFmtId="0" fontId="7" fillId="0" borderId="0" xfId="2" applyFont="1" applyAlignment="1">
      <alignment wrapText="1"/>
    </xf>
    <xf numFmtId="0" fontId="0" fillId="0" borderId="0" xfId="0" applyFont="1" applyAlignment="1">
      <alignment wrapText="1"/>
    </xf>
    <xf numFmtId="0" fontId="7" fillId="0" borderId="14" xfId="0" applyFont="1" applyBorder="1" applyAlignment="1">
      <alignment horizontal="center" vertical="center" wrapText="1"/>
    </xf>
    <xf numFmtId="0" fontId="12" fillId="0" borderId="15" xfId="0" applyFont="1" applyBorder="1"/>
    <xf numFmtId="0" fontId="12" fillId="0" borderId="16" xfId="0" applyFont="1" applyBorder="1"/>
    <xf numFmtId="0" fontId="5" fillId="0" borderId="1" xfId="0" applyFont="1" applyBorder="1" applyAlignment="1">
      <alignment horizontal="center"/>
    </xf>
    <xf numFmtId="0" fontId="25" fillId="0" borderId="0" xfId="0" applyFont="1" applyAlignment="1">
      <alignment wrapText="1"/>
    </xf>
    <xf numFmtId="0" fontId="27" fillId="0" borderId="0" xfId="0" applyFont="1" applyAlignment="1"/>
    <xf numFmtId="0" fontId="6" fillId="0" borderId="0" xfId="0" applyFont="1" applyAlignment="1">
      <alignment horizontal="left" wrapText="1"/>
    </xf>
    <xf numFmtId="0" fontId="3" fillId="0" borderId="1" xfId="0" applyFont="1" applyBorder="1" applyAlignment="1">
      <alignment wrapText="1"/>
    </xf>
    <xf numFmtId="0" fontId="7" fillId="0" borderId="0" xfId="2" applyFont="1" applyAlignment="1"/>
    <xf numFmtId="0" fontId="10" fillId="0" borderId="0" xfId="0" applyFont="1" applyAlignment="1">
      <alignment wrapText="1"/>
    </xf>
  </cellXfs>
  <cellStyles count="3">
    <cellStyle name="Hyperlink" xfId="2" builtinId="8"/>
    <cellStyle name="Normal" xfId="0" builtinId="0"/>
    <cellStyle name="Normal 2" xfId="1" xr:uid="{E792049B-5E0B-B440-A5D5-C879121479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12700</xdr:colOff>
      <xdr:row>2</xdr:row>
      <xdr:rowOff>88900</xdr:rowOff>
    </xdr:from>
    <xdr:to>
      <xdr:col>4</xdr:col>
      <xdr:colOff>523922</xdr:colOff>
      <xdr:row>36</xdr:row>
      <xdr:rowOff>140897</xdr:rowOff>
    </xdr:to>
    <xdr:grpSp>
      <xdr:nvGrpSpPr>
        <xdr:cNvPr id="2" name="Group 1">
          <a:extLst>
            <a:ext uri="{FF2B5EF4-FFF2-40B4-BE49-F238E27FC236}">
              <a16:creationId xmlns:a16="http://schemas.microsoft.com/office/drawing/2014/main" id="{314573F4-7D74-EC47-A307-18043E877C71}"/>
            </a:ext>
          </a:extLst>
        </xdr:cNvPr>
        <xdr:cNvGrpSpPr/>
      </xdr:nvGrpSpPr>
      <xdr:grpSpPr>
        <a:xfrm>
          <a:off x="12700" y="495300"/>
          <a:ext cx="3813222" cy="7621197"/>
          <a:chOff x="-26667" y="-128954"/>
          <a:chExt cx="3813222" cy="6960797"/>
        </a:xfrm>
      </xdr:grpSpPr>
      <xdr:sp macro="" textlink="">
        <xdr:nvSpPr>
          <xdr:cNvPr id="3" name="Rectangle 2">
            <a:extLst>
              <a:ext uri="{FF2B5EF4-FFF2-40B4-BE49-F238E27FC236}">
                <a16:creationId xmlns:a16="http://schemas.microsoft.com/office/drawing/2014/main" id="{CF9AB79C-6664-334A-A826-28D726F9FEB4}"/>
              </a:ext>
            </a:extLst>
          </xdr:cNvPr>
          <xdr:cNvSpPr/>
        </xdr:nvSpPr>
        <xdr:spPr>
          <a:xfrm>
            <a:off x="-26667" y="-128954"/>
            <a:ext cx="3813222" cy="69607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4" name="Group 3">
            <a:extLst>
              <a:ext uri="{FF2B5EF4-FFF2-40B4-BE49-F238E27FC236}">
                <a16:creationId xmlns:a16="http://schemas.microsoft.com/office/drawing/2014/main" id="{C2B8BBC7-7C2E-3346-AED1-F4A989DE874C}"/>
              </a:ext>
            </a:extLst>
          </xdr:cNvPr>
          <xdr:cNvGrpSpPr/>
        </xdr:nvGrpSpPr>
        <xdr:grpSpPr>
          <a:xfrm>
            <a:off x="200335" y="163272"/>
            <a:ext cx="3314031" cy="6489237"/>
            <a:chOff x="1396086" y="163272"/>
            <a:chExt cx="3314031" cy="6489237"/>
          </a:xfrm>
        </xdr:grpSpPr>
        <xdr:grpSp>
          <xdr:nvGrpSpPr>
            <xdr:cNvPr id="5" name="Group 4">
              <a:extLst>
                <a:ext uri="{FF2B5EF4-FFF2-40B4-BE49-F238E27FC236}">
                  <a16:creationId xmlns:a16="http://schemas.microsoft.com/office/drawing/2014/main" id="{0293F625-0632-F342-AF2E-EB14B698939A}"/>
                </a:ext>
              </a:extLst>
            </xdr:cNvPr>
            <xdr:cNvGrpSpPr>
              <a:grpSpLocks noChangeAspect="1"/>
            </xdr:cNvGrpSpPr>
          </xdr:nvGrpSpPr>
          <xdr:grpSpPr>
            <a:xfrm>
              <a:off x="1396086" y="1153446"/>
              <a:ext cx="3314031" cy="5499063"/>
              <a:chOff x="5150029" y="137413"/>
              <a:chExt cx="3841569" cy="6374421"/>
            </a:xfrm>
          </xdr:grpSpPr>
          <xdr:grpSp>
            <xdr:nvGrpSpPr>
              <xdr:cNvPr id="7" name="Group 6">
                <a:extLst>
                  <a:ext uri="{FF2B5EF4-FFF2-40B4-BE49-F238E27FC236}">
                    <a16:creationId xmlns:a16="http://schemas.microsoft.com/office/drawing/2014/main" id="{98F07BCA-9A35-3B4B-A5A3-5F92F561DDB6}"/>
                  </a:ext>
                </a:extLst>
              </xdr:cNvPr>
              <xdr:cNvGrpSpPr>
                <a:grpSpLocks noChangeAspect="1"/>
              </xdr:cNvGrpSpPr>
            </xdr:nvGrpSpPr>
            <xdr:grpSpPr>
              <a:xfrm>
                <a:off x="5150029" y="137413"/>
                <a:ext cx="3841569" cy="6374421"/>
                <a:chOff x="5150031" y="1835331"/>
                <a:chExt cx="2818312" cy="4676503"/>
              </a:xfrm>
            </xdr:grpSpPr>
            <xdr:sp macro="" textlink="">
              <xdr:nvSpPr>
                <xdr:cNvPr id="14" name="Freeform 13">
                  <a:extLst>
                    <a:ext uri="{FF2B5EF4-FFF2-40B4-BE49-F238E27FC236}">
                      <a16:creationId xmlns:a16="http://schemas.microsoft.com/office/drawing/2014/main" id="{A9CDF282-40E8-0F45-B6B0-7EBF2FCF4AD1}"/>
                    </a:ext>
                  </a:extLst>
                </xdr:cNvPr>
                <xdr:cNvSpPr/>
              </xdr:nvSpPr>
              <xdr:spPr>
                <a:xfrm>
                  <a:off x="5225143" y="1841863"/>
                  <a:ext cx="2073728" cy="1303020"/>
                </a:xfrm>
                <a:custGeom>
                  <a:avLst/>
                  <a:gdLst>
                    <a:gd name="connsiteX0" fmla="*/ 0 w 2073728"/>
                    <a:gd name="connsiteY0" fmla="*/ 1303020 h 1303020"/>
                    <a:gd name="connsiteX1" fmla="*/ 597626 w 2073728"/>
                    <a:gd name="connsiteY1" fmla="*/ 1152797 h 1303020"/>
                    <a:gd name="connsiteX2" fmla="*/ 855617 w 2073728"/>
                    <a:gd name="connsiteY2" fmla="*/ 1221377 h 1303020"/>
                    <a:gd name="connsiteX3" fmla="*/ 989511 w 2073728"/>
                    <a:gd name="connsiteY3" fmla="*/ 751114 h 1303020"/>
                    <a:gd name="connsiteX4" fmla="*/ 1120140 w 2073728"/>
                    <a:gd name="connsiteY4" fmla="*/ 672737 h 1303020"/>
                    <a:gd name="connsiteX5" fmla="*/ 1283426 w 2073728"/>
                    <a:gd name="connsiteY5" fmla="*/ 529046 h 1303020"/>
                    <a:gd name="connsiteX6" fmla="*/ 1410788 w 2073728"/>
                    <a:gd name="connsiteY6" fmla="*/ 587828 h 1303020"/>
                    <a:gd name="connsiteX7" fmla="*/ 1753688 w 2073728"/>
                    <a:gd name="connsiteY7" fmla="*/ 506186 h 1303020"/>
                    <a:gd name="connsiteX8" fmla="*/ 2073728 w 2073728"/>
                    <a:gd name="connsiteY8" fmla="*/ 0 h 13030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073728" h="1303020">
                      <a:moveTo>
                        <a:pt x="0" y="1303020"/>
                      </a:moveTo>
                      <a:lnTo>
                        <a:pt x="597626" y="1152797"/>
                      </a:lnTo>
                      <a:lnTo>
                        <a:pt x="855617" y="1221377"/>
                      </a:lnTo>
                      <a:lnTo>
                        <a:pt x="989511" y="751114"/>
                      </a:lnTo>
                      <a:lnTo>
                        <a:pt x="1120140" y="672737"/>
                      </a:lnTo>
                      <a:lnTo>
                        <a:pt x="1283426" y="529046"/>
                      </a:lnTo>
                      <a:lnTo>
                        <a:pt x="1410788" y="587828"/>
                      </a:lnTo>
                      <a:lnTo>
                        <a:pt x="1753688" y="506186"/>
                      </a:lnTo>
                      <a:lnTo>
                        <a:pt x="2073728" y="0"/>
                      </a:lnTo>
                    </a:path>
                  </a:pathLst>
                </a:cu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15" name="Freeform 14">
                  <a:extLst>
                    <a:ext uri="{FF2B5EF4-FFF2-40B4-BE49-F238E27FC236}">
                      <a16:creationId xmlns:a16="http://schemas.microsoft.com/office/drawing/2014/main" id="{0AFB6C90-0A30-DA44-BFDE-B8F6A58995CA}"/>
                    </a:ext>
                  </a:extLst>
                </xdr:cNvPr>
                <xdr:cNvSpPr/>
              </xdr:nvSpPr>
              <xdr:spPr>
                <a:xfrm>
                  <a:off x="7292340" y="1835331"/>
                  <a:ext cx="676003" cy="2243546"/>
                </a:xfrm>
                <a:custGeom>
                  <a:avLst/>
                  <a:gdLst>
                    <a:gd name="connsiteX0" fmla="*/ 0 w 676003"/>
                    <a:gd name="connsiteY0" fmla="*/ 0 h 2243546"/>
                    <a:gd name="connsiteX1" fmla="*/ 463731 w 676003"/>
                    <a:gd name="connsiteY1" fmla="*/ 271055 h 2243546"/>
                    <a:gd name="connsiteX2" fmla="*/ 574766 w 676003"/>
                    <a:gd name="connsiteY2" fmla="*/ 97972 h 2243546"/>
                    <a:gd name="connsiteX3" fmla="*/ 666206 w 676003"/>
                    <a:gd name="connsiteY3" fmla="*/ 163286 h 2243546"/>
                    <a:gd name="connsiteX4" fmla="*/ 672737 w 676003"/>
                    <a:gd name="connsiteY4" fmla="*/ 349432 h 2243546"/>
                    <a:gd name="connsiteX5" fmla="*/ 646611 w 676003"/>
                    <a:gd name="connsiteY5" fmla="*/ 529046 h 2243546"/>
                    <a:gd name="connsiteX6" fmla="*/ 640080 w 676003"/>
                    <a:gd name="connsiteY6" fmla="*/ 731520 h 2243546"/>
                    <a:gd name="connsiteX7" fmla="*/ 649877 w 676003"/>
                    <a:gd name="connsiteY7" fmla="*/ 855618 h 2243546"/>
                    <a:gd name="connsiteX8" fmla="*/ 676003 w 676003"/>
                    <a:gd name="connsiteY8" fmla="*/ 1009106 h 2243546"/>
                    <a:gd name="connsiteX9" fmla="*/ 656409 w 676003"/>
                    <a:gd name="connsiteY9" fmla="*/ 1257300 h 2243546"/>
                    <a:gd name="connsiteX10" fmla="*/ 613954 w 676003"/>
                    <a:gd name="connsiteY10" fmla="*/ 1293223 h 2243546"/>
                    <a:gd name="connsiteX11" fmla="*/ 483326 w 676003"/>
                    <a:gd name="connsiteY11" fmla="*/ 1293223 h 2243546"/>
                    <a:gd name="connsiteX12" fmla="*/ 509451 w 676003"/>
                    <a:gd name="connsiteY12" fmla="*/ 1505495 h 2243546"/>
                    <a:gd name="connsiteX13" fmla="*/ 463731 w 676003"/>
                    <a:gd name="connsiteY13" fmla="*/ 1541418 h 2243546"/>
                    <a:gd name="connsiteX14" fmla="*/ 548640 w 676003"/>
                    <a:gd name="connsiteY14" fmla="*/ 1698172 h 2243546"/>
                    <a:gd name="connsiteX15" fmla="*/ 342900 w 676003"/>
                    <a:gd name="connsiteY15" fmla="*/ 1789612 h 2243546"/>
                    <a:gd name="connsiteX16" fmla="*/ 271054 w 676003"/>
                    <a:gd name="connsiteY16" fmla="*/ 1965960 h 2243546"/>
                    <a:gd name="connsiteX17" fmla="*/ 215537 w 676003"/>
                    <a:gd name="connsiteY17" fmla="*/ 1956163 h 2243546"/>
                    <a:gd name="connsiteX18" fmla="*/ 160020 w 676003"/>
                    <a:gd name="connsiteY18" fmla="*/ 2119449 h 2243546"/>
                    <a:gd name="connsiteX19" fmla="*/ 486591 w 676003"/>
                    <a:gd name="connsiteY19" fmla="*/ 2243546 h 22435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676003" h="2243546">
                      <a:moveTo>
                        <a:pt x="0" y="0"/>
                      </a:moveTo>
                      <a:lnTo>
                        <a:pt x="463731" y="271055"/>
                      </a:lnTo>
                      <a:lnTo>
                        <a:pt x="574766" y="97972"/>
                      </a:lnTo>
                      <a:lnTo>
                        <a:pt x="666206" y="163286"/>
                      </a:lnTo>
                      <a:lnTo>
                        <a:pt x="672737" y="349432"/>
                      </a:lnTo>
                      <a:lnTo>
                        <a:pt x="646611" y="529046"/>
                      </a:lnTo>
                      <a:lnTo>
                        <a:pt x="640080" y="731520"/>
                      </a:lnTo>
                      <a:lnTo>
                        <a:pt x="649877" y="855618"/>
                      </a:lnTo>
                      <a:lnTo>
                        <a:pt x="676003" y="1009106"/>
                      </a:lnTo>
                      <a:lnTo>
                        <a:pt x="656409" y="1257300"/>
                      </a:lnTo>
                      <a:lnTo>
                        <a:pt x="613954" y="1293223"/>
                      </a:lnTo>
                      <a:lnTo>
                        <a:pt x="483326" y="1293223"/>
                      </a:lnTo>
                      <a:lnTo>
                        <a:pt x="509451" y="1505495"/>
                      </a:lnTo>
                      <a:lnTo>
                        <a:pt x="463731" y="1541418"/>
                      </a:lnTo>
                      <a:lnTo>
                        <a:pt x="548640" y="1698172"/>
                      </a:lnTo>
                      <a:lnTo>
                        <a:pt x="342900" y="1789612"/>
                      </a:lnTo>
                      <a:lnTo>
                        <a:pt x="271054" y="1965960"/>
                      </a:lnTo>
                      <a:lnTo>
                        <a:pt x="215537" y="1956163"/>
                      </a:lnTo>
                      <a:lnTo>
                        <a:pt x="160020" y="2119449"/>
                      </a:lnTo>
                      <a:lnTo>
                        <a:pt x="486591" y="2243546"/>
                      </a:lnTo>
                    </a:path>
                  </a:pathLst>
                </a:cu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16" name="Freeform 15">
                  <a:extLst>
                    <a:ext uri="{FF2B5EF4-FFF2-40B4-BE49-F238E27FC236}">
                      <a16:creationId xmlns:a16="http://schemas.microsoft.com/office/drawing/2014/main" id="{E54D022B-6251-A041-BD9F-6591F89A4E65}"/>
                    </a:ext>
                  </a:extLst>
                </xdr:cNvPr>
                <xdr:cNvSpPr/>
              </xdr:nvSpPr>
              <xdr:spPr>
                <a:xfrm>
                  <a:off x="6250849" y="4075611"/>
                  <a:ext cx="1524817" cy="1991270"/>
                </a:xfrm>
                <a:custGeom>
                  <a:avLst/>
                  <a:gdLst>
                    <a:gd name="connsiteX0" fmla="*/ 1629592 w 1629592"/>
                    <a:gd name="connsiteY0" fmla="*/ 0 h 2076995"/>
                    <a:gd name="connsiteX1" fmla="*/ 1580606 w 1629592"/>
                    <a:gd name="connsiteY1" fmla="*/ 137160 h 2076995"/>
                    <a:gd name="connsiteX2" fmla="*/ 1247503 w 1629592"/>
                    <a:gd name="connsiteY2" fmla="*/ 42455 h 2076995"/>
                    <a:gd name="connsiteX3" fmla="*/ 901337 w 1629592"/>
                    <a:gd name="connsiteY3" fmla="*/ 522515 h 2076995"/>
                    <a:gd name="connsiteX4" fmla="*/ 898072 w 1629592"/>
                    <a:gd name="connsiteY4" fmla="*/ 571500 h 2076995"/>
                    <a:gd name="connsiteX5" fmla="*/ 865415 w 1629592"/>
                    <a:gd name="connsiteY5" fmla="*/ 581298 h 2076995"/>
                    <a:gd name="connsiteX6" fmla="*/ 803366 w 1629592"/>
                    <a:gd name="connsiteY6" fmla="*/ 672738 h 2076995"/>
                    <a:gd name="connsiteX7" fmla="*/ 862149 w 1629592"/>
                    <a:gd name="connsiteY7" fmla="*/ 809898 h 2076995"/>
                    <a:gd name="connsiteX8" fmla="*/ 842555 w 1629592"/>
                    <a:gd name="connsiteY8" fmla="*/ 836023 h 2076995"/>
                    <a:gd name="connsiteX9" fmla="*/ 757646 w 1629592"/>
                    <a:gd name="connsiteY9" fmla="*/ 738052 h 2076995"/>
                    <a:gd name="connsiteX10" fmla="*/ 538843 w 1629592"/>
                    <a:gd name="connsiteY10" fmla="*/ 1051560 h 2076995"/>
                    <a:gd name="connsiteX11" fmla="*/ 388620 w 1629592"/>
                    <a:gd name="connsiteY11" fmla="*/ 1378132 h 2076995"/>
                    <a:gd name="connsiteX12" fmla="*/ 855617 w 1629592"/>
                    <a:gd name="connsiteY12" fmla="*/ 1734095 h 2076995"/>
                    <a:gd name="connsiteX13" fmla="*/ 826226 w 1629592"/>
                    <a:gd name="connsiteY13" fmla="*/ 1753689 h 2076995"/>
                    <a:gd name="connsiteX14" fmla="*/ 780506 w 1629592"/>
                    <a:gd name="connsiteY14" fmla="*/ 1766752 h 2076995"/>
                    <a:gd name="connsiteX15" fmla="*/ 502920 w 1629592"/>
                    <a:gd name="connsiteY15" fmla="*/ 1508760 h 2076995"/>
                    <a:gd name="connsiteX16" fmla="*/ 362495 w 1629592"/>
                    <a:gd name="connsiteY16" fmla="*/ 1485900 h 2076995"/>
                    <a:gd name="connsiteX17" fmla="*/ 303712 w 1629592"/>
                    <a:gd name="connsiteY17" fmla="*/ 1701438 h 2076995"/>
                    <a:gd name="connsiteX18" fmla="*/ 153489 w 1629592"/>
                    <a:gd name="connsiteY18" fmla="*/ 1838598 h 2076995"/>
                    <a:gd name="connsiteX19" fmla="*/ 169817 w 1629592"/>
                    <a:gd name="connsiteY19" fmla="*/ 1936569 h 2076995"/>
                    <a:gd name="connsiteX20" fmla="*/ 0 w 1629592"/>
                    <a:gd name="connsiteY20" fmla="*/ 2076995 h 2076995"/>
                    <a:gd name="connsiteX0" fmla="*/ 1524817 w 1524817"/>
                    <a:gd name="connsiteY0" fmla="*/ 0 h 1991270"/>
                    <a:gd name="connsiteX1" fmla="*/ 1475831 w 1524817"/>
                    <a:gd name="connsiteY1" fmla="*/ 137160 h 1991270"/>
                    <a:gd name="connsiteX2" fmla="*/ 1142728 w 1524817"/>
                    <a:gd name="connsiteY2" fmla="*/ 42455 h 1991270"/>
                    <a:gd name="connsiteX3" fmla="*/ 796562 w 1524817"/>
                    <a:gd name="connsiteY3" fmla="*/ 522515 h 1991270"/>
                    <a:gd name="connsiteX4" fmla="*/ 793297 w 1524817"/>
                    <a:gd name="connsiteY4" fmla="*/ 571500 h 1991270"/>
                    <a:gd name="connsiteX5" fmla="*/ 760640 w 1524817"/>
                    <a:gd name="connsiteY5" fmla="*/ 581298 h 1991270"/>
                    <a:gd name="connsiteX6" fmla="*/ 698591 w 1524817"/>
                    <a:gd name="connsiteY6" fmla="*/ 672738 h 1991270"/>
                    <a:gd name="connsiteX7" fmla="*/ 757374 w 1524817"/>
                    <a:gd name="connsiteY7" fmla="*/ 809898 h 1991270"/>
                    <a:gd name="connsiteX8" fmla="*/ 737780 w 1524817"/>
                    <a:gd name="connsiteY8" fmla="*/ 836023 h 1991270"/>
                    <a:gd name="connsiteX9" fmla="*/ 652871 w 1524817"/>
                    <a:gd name="connsiteY9" fmla="*/ 738052 h 1991270"/>
                    <a:gd name="connsiteX10" fmla="*/ 434068 w 1524817"/>
                    <a:gd name="connsiteY10" fmla="*/ 1051560 h 1991270"/>
                    <a:gd name="connsiteX11" fmla="*/ 283845 w 1524817"/>
                    <a:gd name="connsiteY11" fmla="*/ 1378132 h 1991270"/>
                    <a:gd name="connsiteX12" fmla="*/ 750842 w 1524817"/>
                    <a:gd name="connsiteY12" fmla="*/ 1734095 h 1991270"/>
                    <a:gd name="connsiteX13" fmla="*/ 721451 w 1524817"/>
                    <a:gd name="connsiteY13" fmla="*/ 1753689 h 1991270"/>
                    <a:gd name="connsiteX14" fmla="*/ 675731 w 1524817"/>
                    <a:gd name="connsiteY14" fmla="*/ 1766752 h 1991270"/>
                    <a:gd name="connsiteX15" fmla="*/ 398145 w 1524817"/>
                    <a:gd name="connsiteY15" fmla="*/ 1508760 h 1991270"/>
                    <a:gd name="connsiteX16" fmla="*/ 257720 w 1524817"/>
                    <a:gd name="connsiteY16" fmla="*/ 1485900 h 1991270"/>
                    <a:gd name="connsiteX17" fmla="*/ 198937 w 1524817"/>
                    <a:gd name="connsiteY17" fmla="*/ 1701438 h 1991270"/>
                    <a:gd name="connsiteX18" fmla="*/ 48714 w 1524817"/>
                    <a:gd name="connsiteY18" fmla="*/ 1838598 h 1991270"/>
                    <a:gd name="connsiteX19" fmla="*/ 65042 w 1524817"/>
                    <a:gd name="connsiteY19" fmla="*/ 1936569 h 1991270"/>
                    <a:gd name="connsiteX20" fmla="*/ 0 w 1524817"/>
                    <a:gd name="connsiteY20" fmla="*/ 1991270 h 19912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524817" h="1991270">
                      <a:moveTo>
                        <a:pt x="1524817" y="0"/>
                      </a:moveTo>
                      <a:lnTo>
                        <a:pt x="1475831" y="137160"/>
                      </a:lnTo>
                      <a:lnTo>
                        <a:pt x="1142728" y="42455"/>
                      </a:lnTo>
                      <a:lnTo>
                        <a:pt x="796562" y="522515"/>
                      </a:lnTo>
                      <a:lnTo>
                        <a:pt x="793297" y="571500"/>
                      </a:lnTo>
                      <a:lnTo>
                        <a:pt x="760640" y="581298"/>
                      </a:lnTo>
                      <a:lnTo>
                        <a:pt x="698591" y="672738"/>
                      </a:lnTo>
                      <a:lnTo>
                        <a:pt x="757374" y="809898"/>
                      </a:lnTo>
                      <a:lnTo>
                        <a:pt x="737780" y="836023"/>
                      </a:lnTo>
                      <a:lnTo>
                        <a:pt x="652871" y="738052"/>
                      </a:lnTo>
                      <a:lnTo>
                        <a:pt x="434068" y="1051560"/>
                      </a:lnTo>
                      <a:lnTo>
                        <a:pt x="283845" y="1378132"/>
                      </a:lnTo>
                      <a:lnTo>
                        <a:pt x="750842" y="1734095"/>
                      </a:lnTo>
                      <a:lnTo>
                        <a:pt x="721451" y="1753689"/>
                      </a:lnTo>
                      <a:lnTo>
                        <a:pt x="675731" y="1766752"/>
                      </a:lnTo>
                      <a:lnTo>
                        <a:pt x="398145" y="1508760"/>
                      </a:lnTo>
                      <a:lnTo>
                        <a:pt x="257720" y="1485900"/>
                      </a:lnTo>
                      <a:lnTo>
                        <a:pt x="198937" y="1701438"/>
                      </a:lnTo>
                      <a:lnTo>
                        <a:pt x="48714" y="1838598"/>
                      </a:lnTo>
                      <a:lnTo>
                        <a:pt x="65042" y="1936569"/>
                      </a:lnTo>
                      <a:lnTo>
                        <a:pt x="0" y="1991270"/>
                      </a:lnTo>
                    </a:path>
                  </a:pathLst>
                </a:cu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17" name="Freeform 16">
                  <a:extLst>
                    <a:ext uri="{FF2B5EF4-FFF2-40B4-BE49-F238E27FC236}">
                      <a16:creationId xmlns:a16="http://schemas.microsoft.com/office/drawing/2014/main" id="{5CA7E392-AFFE-914E-99E8-0D929158C34F}"/>
                    </a:ext>
                  </a:extLst>
                </xdr:cNvPr>
                <xdr:cNvSpPr/>
              </xdr:nvSpPr>
              <xdr:spPr>
                <a:xfrm>
                  <a:off x="5150031" y="4336869"/>
                  <a:ext cx="1159329" cy="2174965"/>
                </a:xfrm>
                <a:custGeom>
                  <a:avLst/>
                  <a:gdLst>
                    <a:gd name="connsiteX0" fmla="*/ 1159329 w 1159329"/>
                    <a:gd name="connsiteY0" fmla="*/ 1675311 h 2174965"/>
                    <a:gd name="connsiteX1" fmla="*/ 545375 w 1159329"/>
                    <a:gd name="connsiteY1" fmla="*/ 2174965 h 2174965"/>
                    <a:gd name="connsiteX2" fmla="*/ 499655 w 1159329"/>
                    <a:gd name="connsiteY2" fmla="*/ 2041071 h 2174965"/>
                    <a:gd name="connsiteX3" fmla="*/ 424543 w 1159329"/>
                    <a:gd name="connsiteY3" fmla="*/ 2060665 h 2174965"/>
                    <a:gd name="connsiteX4" fmla="*/ 421278 w 1159329"/>
                    <a:gd name="connsiteY4" fmla="*/ 1936568 h 2174965"/>
                    <a:gd name="connsiteX5" fmla="*/ 342900 w 1159329"/>
                    <a:gd name="connsiteY5" fmla="*/ 1701437 h 2174965"/>
                    <a:gd name="connsiteX6" fmla="*/ 146958 w 1159329"/>
                    <a:gd name="connsiteY6" fmla="*/ 1528354 h 2174965"/>
                    <a:gd name="connsiteX7" fmla="*/ 218803 w 1159329"/>
                    <a:gd name="connsiteY7" fmla="*/ 1534885 h 2174965"/>
                    <a:gd name="connsiteX8" fmla="*/ 166552 w 1159329"/>
                    <a:gd name="connsiteY8" fmla="*/ 1463040 h 2174965"/>
                    <a:gd name="connsiteX9" fmla="*/ 91440 w 1159329"/>
                    <a:gd name="connsiteY9" fmla="*/ 1531620 h 2174965"/>
                    <a:gd name="connsiteX10" fmla="*/ 0 w 1159329"/>
                    <a:gd name="connsiteY10" fmla="*/ 1397725 h 2174965"/>
                    <a:gd name="connsiteX11" fmla="*/ 359229 w 1159329"/>
                    <a:gd name="connsiteY11" fmla="*/ 1054825 h 2174965"/>
                    <a:gd name="connsiteX12" fmla="*/ 365760 w 1159329"/>
                    <a:gd name="connsiteY12" fmla="*/ 780505 h 2174965"/>
                    <a:gd name="connsiteX13" fmla="*/ 251460 w 1159329"/>
                    <a:gd name="connsiteY13" fmla="*/ 548640 h 2174965"/>
                    <a:gd name="connsiteX14" fmla="*/ 235132 w 1159329"/>
                    <a:gd name="connsiteY14" fmla="*/ 476794 h 2174965"/>
                    <a:gd name="connsiteX15" fmla="*/ 300446 w 1159329"/>
                    <a:gd name="connsiteY15" fmla="*/ 355962 h 2174965"/>
                    <a:gd name="connsiteX16" fmla="*/ 470263 w 1159329"/>
                    <a:gd name="connsiteY16" fmla="*/ 241662 h 2174965"/>
                    <a:gd name="connsiteX17" fmla="*/ 610689 w 1159329"/>
                    <a:gd name="connsiteY17" fmla="*/ 0 h 2174965"/>
                    <a:gd name="connsiteX18" fmla="*/ 819695 w 1159329"/>
                    <a:gd name="connsiteY18" fmla="*/ 42454 h 21749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1159329" h="2174965">
                      <a:moveTo>
                        <a:pt x="1159329" y="1675311"/>
                      </a:moveTo>
                      <a:lnTo>
                        <a:pt x="545375" y="2174965"/>
                      </a:lnTo>
                      <a:lnTo>
                        <a:pt x="499655" y="2041071"/>
                      </a:lnTo>
                      <a:lnTo>
                        <a:pt x="424543" y="2060665"/>
                      </a:lnTo>
                      <a:cubicBezTo>
                        <a:pt x="423455" y="2019299"/>
                        <a:pt x="422366" y="1977934"/>
                        <a:pt x="421278" y="1936568"/>
                      </a:cubicBezTo>
                      <a:lnTo>
                        <a:pt x="342900" y="1701437"/>
                      </a:lnTo>
                      <a:lnTo>
                        <a:pt x="146958" y="1528354"/>
                      </a:lnTo>
                      <a:lnTo>
                        <a:pt x="218803" y="1534885"/>
                      </a:lnTo>
                      <a:lnTo>
                        <a:pt x="166552" y="1463040"/>
                      </a:lnTo>
                      <a:lnTo>
                        <a:pt x="91440" y="1531620"/>
                      </a:lnTo>
                      <a:lnTo>
                        <a:pt x="0" y="1397725"/>
                      </a:lnTo>
                      <a:lnTo>
                        <a:pt x="359229" y="1054825"/>
                      </a:lnTo>
                      <a:lnTo>
                        <a:pt x="365760" y="780505"/>
                      </a:lnTo>
                      <a:lnTo>
                        <a:pt x="251460" y="548640"/>
                      </a:lnTo>
                      <a:lnTo>
                        <a:pt x="235132" y="476794"/>
                      </a:lnTo>
                      <a:lnTo>
                        <a:pt x="300446" y="355962"/>
                      </a:lnTo>
                      <a:lnTo>
                        <a:pt x="470263" y="241662"/>
                      </a:lnTo>
                      <a:lnTo>
                        <a:pt x="610689" y="0"/>
                      </a:lnTo>
                      <a:lnTo>
                        <a:pt x="819695" y="42454"/>
                      </a:lnTo>
                    </a:path>
                  </a:pathLst>
                </a:cu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18" name="Freeform 17">
                  <a:extLst>
                    <a:ext uri="{FF2B5EF4-FFF2-40B4-BE49-F238E27FC236}">
                      <a16:creationId xmlns:a16="http://schemas.microsoft.com/office/drawing/2014/main" id="{A2DADA88-09CB-3841-BF29-BDFCAA8DFB1D}"/>
                    </a:ext>
                  </a:extLst>
                </xdr:cNvPr>
                <xdr:cNvSpPr/>
              </xdr:nvSpPr>
              <xdr:spPr>
                <a:xfrm>
                  <a:off x="5156563" y="3144883"/>
                  <a:ext cx="852351" cy="1237706"/>
                </a:xfrm>
                <a:custGeom>
                  <a:avLst/>
                  <a:gdLst>
                    <a:gd name="connsiteX0" fmla="*/ 800100 w 852351"/>
                    <a:gd name="connsiteY0" fmla="*/ 1237706 h 1237706"/>
                    <a:gd name="connsiteX1" fmla="*/ 852351 w 852351"/>
                    <a:gd name="connsiteY1" fmla="*/ 1195251 h 1237706"/>
                    <a:gd name="connsiteX2" fmla="*/ 813163 w 852351"/>
                    <a:gd name="connsiteY2" fmla="*/ 1071154 h 1237706"/>
                    <a:gd name="connsiteX3" fmla="*/ 656408 w 852351"/>
                    <a:gd name="connsiteY3" fmla="*/ 1116874 h 1237706"/>
                    <a:gd name="connsiteX4" fmla="*/ 512717 w 852351"/>
                    <a:gd name="connsiteY4" fmla="*/ 956854 h 1237706"/>
                    <a:gd name="connsiteX5" fmla="*/ 408214 w 852351"/>
                    <a:gd name="connsiteY5" fmla="*/ 1051560 h 1237706"/>
                    <a:gd name="connsiteX6" fmla="*/ 404948 w 852351"/>
                    <a:gd name="connsiteY6" fmla="*/ 1116874 h 1237706"/>
                    <a:gd name="connsiteX7" fmla="*/ 248194 w 852351"/>
                    <a:gd name="connsiteY7" fmla="*/ 1113608 h 1237706"/>
                    <a:gd name="connsiteX8" fmla="*/ 228600 w 852351"/>
                    <a:gd name="connsiteY8" fmla="*/ 911134 h 1237706"/>
                    <a:gd name="connsiteX9" fmla="*/ 254726 w 852351"/>
                    <a:gd name="connsiteY9" fmla="*/ 666206 h 1237706"/>
                    <a:gd name="connsiteX10" fmla="*/ 372291 w 852351"/>
                    <a:gd name="connsiteY10" fmla="*/ 333103 h 1237706"/>
                    <a:gd name="connsiteX11" fmla="*/ 19594 w 852351"/>
                    <a:gd name="connsiteY11" fmla="*/ 212271 h 1237706"/>
                    <a:gd name="connsiteX12" fmla="*/ 0 w 852351"/>
                    <a:gd name="connsiteY12" fmla="*/ 84908 h 1237706"/>
                    <a:gd name="connsiteX13" fmla="*/ 78377 w 852351"/>
                    <a:gd name="connsiteY13" fmla="*/ 0 h 12377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2351" h="1237706">
                      <a:moveTo>
                        <a:pt x="800100" y="1237706"/>
                      </a:moveTo>
                      <a:lnTo>
                        <a:pt x="852351" y="1195251"/>
                      </a:lnTo>
                      <a:lnTo>
                        <a:pt x="813163" y="1071154"/>
                      </a:lnTo>
                      <a:lnTo>
                        <a:pt x="656408" y="1116874"/>
                      </a:lnTo>
                      <a:lnTo>
                        <a:pt x="512717" y="956854"/>
                      </a:lnTo>
                      <a:lnTo>
                        <a:pt x="408214" y="1051560"/>
                      </a:lnTo>
                      <a:lnTo>
                        <a:pt x="404948" y="1116874"/>
                      </a:lnTo>
                      <a:lnTo>
                        <a:pt x="248194" y="1113608"/>
                      </a:lnTo>
                      <a:lnTo>
                        <a:pt x="228600" y="911134"/>
                      </a:lnTo>
                      <a:lnTo>
                        <a:pt x="254726" y="666206"/>
                      </a:lnTo>
                      <a:lnTo>
                        <a:pt x="372291" y="333103"/>
                      </a:lnTo>
                      <a:lnTo>
                        <a:pt x="19594" y="212271"/>
                      </a:lnTo>
                      <a:lnTo>
                        <a:pt x="0" y="84908"/>
                      </a:lnTo>
                      <a:lnTo>
                        <a:pt x="78377" y="0"/>
                      </a:lnTo>
                    </a:path>
                  </a:pathLst>
                </a:cu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19" name="Freeform 18">
                  <a:extLst>
                    <a:ext uri="{FF2B5EF4-FFF2-40B4-BE49-F238E27FC236}">
                      <a16:creationId xmlns:a16="http://schemas.microsoft.com/office/drawing/2014/main" id="{24799AE3-CDAC-D349-95B1-44AEEB006F08}"/>
                    </a:ext>
                  </a:extLst>
                </xdr:cNvPr>
                <xdr:cNvSpPr/>
              </xdr:nvSpPr>
              <xdr:spPr>
                <a:xfrm>
                  <a:off x="6019800" y="4248150"/>
                  <a:ext cx="965200" cy="428625"/>
                </a:xfrm>
                <a:custGeom>
                  <a:avLst/>
                  <a:gdLst>
                    <a:gd name="connsiteX0" fmla="*/ 0 w 965200"/>
                    <a:gd name="connsiteY0" fmla="*/ 95250 h 428625"/>
                    <a:gd name="connsiteX1" fmla="*/ 180975 w 965200"/>
                    <a:gd name="connsiteY1" fmla="*/ 0 h 428625"/>
                    <a:gd name="connsiteX2" fmla="*/ 400050 w 965200"/>
                    <a:gd name="connsiteY2" fmla="*/ 63500 h 428625"/>
                    <a:gd name="connsiteX3" fmla="*/ 349250 w 965200"/>
                    <a:gd name="connsiteY3" fmla="*/ 136525 h 428625"/>
                    <a:gd name="connsiteX4" fmla="*/ 663575 w 965200"/>
                    <a:gd name="connsiteY4" fmla="*/ 288925 h 428625"/>
                    <a:gd name="connsiteX5" fmla="*/ 695325 w 965200"/>
                    <a:gd name="connsiteY5" fmla="*/ 193675 h 428625"/>
                    <a:gd name="connsiteX6" fmla="*/ 742950 w 965200"/>
                    <a:gd name="connsiteY6" fmla="*/ 234950 h 428625"/>
                    <a:gd name="connsiteX7" fmla="*/ 727075 w 965200"/>
                    <a:gd name="connsiteY7" fmla="*/ 307975 h 428625"/>
                    <a:gd name="connsiteX8" fmla="*/ 949325 w 965200"/>
                    <a:gd name="connsiteY8" fmla="*/ 384175 h 428625"/>
                    <a:gd name="connsiteX9" fmla="*/ 965200 w 965200"/>
                    <a:gd name="connsiteY9" fmla="*/ 428625 h 4286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965200" h="428625">
                      <a:moveTo>
                        <a:pt x="0" y="95250"/>
                      </a:moveTo>
                      <a:lnTo>
                        <a:pt x="180975" y="0"/>
                      </a:lnTo>
                      <a:lnTo>
                        <a:pt x="400050" y="63500"/>
                      </a:lnTo>
                      <a:lnTo>
                        <a:pt x="349250" y="136525"/>
                      </a:lnTo>
                      <a:lnTo>
                        <a:pt x="663575" y="288925"/>
                      </a:lnTo>
                      <a:lnTo>
                        <a:pt x="695325" y="193675"/>
                      </a:lnTo>
                      <a:lnTo>
                        <a:pt x="742950" y="234950"/>
                      </a:lnTo>
                      <a:lnTo>
                        <a:pt x="727075" y="307975"/>
                      </a:lnTo>
                      <a:lnTo>
                        <a:pt x="949325" y="384175"/>
                      </a:lnTo>
                      <a:lnTo>
                        <a:pt x="965200" y="428625"/>
                      </a:lnTo>
                    </a:path>
                  </a:pathLst>
                </a:cu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20" name="Freeform 19">
                  <a:extLst>
                    <a:ext uri="{FF2B5EF4-FFF2-40B4-BE49-F238E27FC236}">
                      <a16:creationId xmlns:a16="http://schemas.microsoft.com/office/drawing/2014/main" id="{555D33B8-A6D2-314C-8713-B2AEE0ACB162}"/>
                    </a:ext>
                  </a:extLst>
                </xdr:cNvPr>
                <xdr:cNvSpPr/>
              </xdr:nvSpPr>
              <xdr:spPr>
                <a:xfrm>
                  <a:off x="5740400" y="3019425"/>
                  <a:ext cx="2003425" cy="1117600"/>
                </a:xfrm>
                <a:custGeom>
                  <a:avLst/>
                  <a:gdLst>
                    <a:gd name="connsiteX0" fmla="*/ 2003425 w 2003425"/>
                    <a:gd name="connsiteY0" fmla="*/ 1117600 h 1117600"/>
                    <a:gd name="connsiteX1" fmla="*/ 1765300 w 2003425"/>
                    <a:gd name="connsiteY1" fmla="*/ 1009650 h 1117600"/>
                    <a:gd name="connsiteX2" fmla="*/ 1387475 w 2003425"/>
                    <a:gd name="connsiteY2" fmla="*/ 977900 h 1117600"/>
                    <a:gd name="connsiteX3" fmla="*/ 1428750 w 2003425"/>
                    <a:gd name="connsiteY3" fmla="*/ 838200 h 1117600"/>
                    <a:gd name="connsiteX4" fmla="*/ 885825 w 2003425"/>
                    <a:gd name="connsiteY4" fmla="*/ 647700 h 1117600"/>
                    <a:gd name="connsiteX5" fmla="*/ 889000 w 2003425"/>
                    <a:gd name="connsiteY5" fmla="*/ 269875 h 1117600"/>
                    <a:gd name="connsiteX6" fmla="*/ 752475 w 2003425"/>
                    <a:gd name="connsiteY6" fmla="*/ 330200 h 1117600"/>
                    <a:gd name="connsiteX7" fmla="*/ 723900 w 2003425"/>
                    <a:gd name="connsiteY7" fmla="*/ 238125 h 1117600"/>
                    <a:gd name="connsiteX8" fmla="*/ 622300 w 2003425"/>
                    <a:gd name="connsiteY8" fmla="*/ 244475 h 1117600"/>
                    <a:gd name="connsiteX9" fmla="*/ 587375 w 2003425"/>
                    <a:gd name="connsiteY9" fmla="*/ 311150 h 1117600"/>
                    <a:gd name="connsiteX10" fmla="*/ 0 w 2003425"/>
                    <a:gd name="connsiteY10" fmla="*/ 0 h 1117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003425" h="1117600">
                      <a:moveTo>
                        <a:pt x="2003425" y="1117600"/>
                      </a:moveTo>
                      <a:lnTo>
                        <a:pt x="1765300" y="1009650"/>
                      </a:lnTo>
                      <a:lnTo>
                        <a:pt x="1387475" y="977900"/>
                      </a:lnTo>
                      <a:lnTo>
                        <a:pt x="1428750" y="838200"/>
                      </a:lnTo>
                      <a:lnTo>
                        <a:pt x="885825" y="647700"/>
                      </a:lnTo>
                      <a:cubicBezTo>
                        <a:pt x="886883" y="521758"/>
                        <a:pt x="887942" y="395817"/>
                        <a:pt x="889000" y="269875"/>
                      </a:cubicBezTo>
                      <a:lnTo>
                        <a:pt x="752475" y="330200"/>
                      </a:lnTo>
                      <a:lnTo>
                        <a:pt x="723900" y="238125"/>
                      </a:lnTo>
                      <a:lnTo>
                        <a:pt x="622300" y="244475"/>
                      </a:lnTo>
                      <a:lnTo>
                        <a:pt x="587375" y="311150"/>
                      </a:lnTo>
                      <a:lnTo>
                        <a:pt x="0" y="0"/>
                      </a:lnTo>
                    </a:path>
                  </a:pathLst>
                </a:cu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21" name="Freeform 20">
                  <a:extLst>
                    <a:ext uri="{FF2B5EF4-FFF2-40B4-BE49-F238E27FC236}">
                      <a16:creationId xmlns:a16="http://schemas.microsoft.com/office/drawing/2014/main" id="{BD1A76D8-2B04-064A-9431-5FD7FAFD2F4D}"/>
                    </a:ext>
                  </a:extLst>
                </xdr:cNvPr>
                <xdr:cNvSpPr/>
              </xdr:nvSpPr>
              <xdr:spPr>
                <a:xfrm>
                  <a:off x="6715125" y="3787775"/>
                  <a:ext cx="234950" cy="647700"/>
                </a:xfrm>
                <a:custGeom>
                  <a:avLst/>
                  <a:gdLst>
                    <a:gd name="connsiteX0" fmla="*/ 0 w 234950"/>
                    <a:gd name="connsiteY0" fmla="*/ 647700 h 647700"/>
                    <a:gd name="connsiteX1" fmla="*/ 234950 w 234950"/>
                    <a:gd name="connsiteY1" fmla="*/ 0 h 647700"/>
                  </a:gdLst>
                  <a:ahLst/>
                  <a:cxnLst>
                    <a:cxn ang="0">
                      <a:pos x="connsiteX0" y="connsiteY0"/>
                    </a:cxn>
                    <a:cxn ang="0">
                      <a:pos x="connsiteX1" y="connsiteY1"/>
                    </a:cxn>
                  </a:cxnLst>
                  <a:rect l="l" t="t" r="r" b="b"/>
                  <a:pathLst>
                    <a:path w="234950" h="647700">
                      <a:moveTo>
                        <a:pt x="0" y="647700"/>
                      </a:moveTo>
                      <a:lnTo>
                        <a:pt x="234950" y="0"/>
                      </a:lnTo>
                    </a:path>
                  </a:pathLst>
                </a:cu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22" name="Freeform 21">
                  <a:extLst>
                    <a:ext uri="{FF2B5EF4-FFF2-40B4-BE49-F238E27FC236}">
                      <a16:creationId xmlns:a16="http://schemas.microsoft.com/office/drawing/2014/main" id="{3F9EBDB3-16F3-6142-A7A5-62A6B5D465D4}"/>
                    </a:ext>
                  </a:extLst>
                </xdr:cNvPr>
                <xdr:cNvSpPr/>
              </xdr:nvSpPr>
              <xdr:spPr>
                <a:xfrm>
                  <a:off x="6838950" y="2384425"/>
                  <a:ext cx="955675" cy="955675"/>
                </a:xfrm>
                <a:custGeom>
                  <a:avLst/>
                  <a:gdLst>
                    <a:gd name="connsiteX0" fmla="*/ 955675 w 955675"/>
                    <a:gd name="connsiteY0" fmla="*/ 955675 h 955675"/>
                    <a:gd name="connsiteX1" fmla="*/ 844550 w 955675"/>
                    <a:gd name="connsiteY1" fmla="*/ 793750 h 955675"/>
                    <a:gd name="connsiteX2" fmla="*/ 565150 w 955675"/>
                    <a:gd name="connsiteY2" fmla="*/ 669925 h 955675"/>
                    <a:gd name="connsiteX3" fmla="*/ 419100 w 955675"/>
                    <a:gd name="connsiteY3" fmla="*/ 673100 h 955675"/>
                    <a:gd name="connsiteX4" fmla="*/ 155575 w 955675"/>
                    <a:gd name="connsiteY4" fmla="*/ 733425 h 955675"/>
                    <a:gd name="connsiteX5" fmla="*/ 0 w 955675"/>
                    <a:gd name="connsiteY5" fmla="*/ 0 h 9556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55675" h="955675">
                      <a:moveTo>
                        <a:pt x="955675" y="955675"/>
                      </a:moveTo>
                      <a:lnTo>
                        <a:pt x="844550" y="793750"/>
                      </a:lnTo>
                      <a:lnTo>
                        <a:pt x="565150" y="669925"/>
                      </a:lnTo>
                      <a:lnTo>
                        <a:pt x="419100" y="673100"/>
                      </a:lnTo>
                      <a:lnTo>
                        <a:pt x="155575" y="733425"/>
                      </a:lnTo>
                      <a:lnTo>
                        <a:pt x="0" y="0"/>
                      </a:lnTo>
                    </a:path>
                  </a:pathLst>
                </a:cu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sp macro="" textlink="">
              <xdr:nvSpPr>
                <xdr:cNvPr id="23" name="Freeform 22">
                  <a:extLst>
                    <a:ext uri="{FF2B5EF4-FFF2-40B4-BE49-F238E27FC236}">
                      <a16:creationId xmlns:a16="http://schemas.microsoft.com/office/drawing/2014/main" id="{F0D5B2CC-ED56-B24E-9E37-AE0A3F395751}"/>
                    </a:ext>
                  </a:extLst>
                </xdr:cNvPr>
                <xdr:cNvSpPr/>
              </xdr:nvSpPr>
              <xdr:spPr>
                <a:xfrm>
                  <a:off x="6816725" y="3057525"/>
                  <a:ext cx="447675" cy="676275"/>
                </a:xfrm>
                <a:custGeom>
                  <a:avLst/>
                  <a:gdLst>
                    <a:gd name="connsiteX0" fmla="*/ 0 w 447675"/>
                    <a:gd name="connsiteY0" fmla="*/ 676275 h 676275"/>
                    <a:gd name="connsiteX1" fmla="*/ 171450 w 447675"/>
                    <a:gd name="connsiteY1" fmla="*/ 190500 h 676275"/>
                    <a:gd name="connsiteX2" fmla="*/ 311150 w 447675"/>
                    <a:gd name="connsiteY2" fmla="*/ 155575 h 676275"/>
                    <a:gd name="connsiteX3" fmla="*/ 447675 w 447675"/>
                    <a:gd name="connsiteY3" fmla="*/ 0 h 676275"/>
                  </a:gdLst>
                  <a:ahLst/>
                  <a:cxnLst>
                    <a:cxn ang="0">
                      <a:pos x="connsiteX0" y="connsiteY0"/>
                    </a:cxn>
                    <a:cxn ang="0">
                      <a:pos x="connsiteX1" y="connsiteY1"/>
                    </a:cxn>
                    <a:cxn ang="0">
                      <a:pos x="connsiteX2" y="connsiteY2"/>
                    </a:cxn>
                    <a:cxn ang="0">
                      <a:pos x="connsiteX3" y="connsiteY3"/>
                    </a:cxn>
                  </a:cxnLst>
                  <a:rect l="l" t="t" r="r" b="b"/>
                  <a:pathLst>
                    <a:path w="447675" h="676275">
                      <a:moveTo>
                        <a:pt x="0" y="676275"/>
                      </a:moveTo>
                      <a:lnTo>
                        <a:pt x="171450" y="190500"/>
                      </a:lnTo>
                      <a:lnTo>
                        <a:pt x="311150" y="155575"/>
                      </a:lnTo>
                      <a:lnTo>
                        <a:pt x="447675" y="0"/>
                      </a:lnTo>
                    </a:path>
                  </a:pathLst>
                </a:cu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4000">
                    <a:latin typeface="Arial" panose="020B0604020202020204" pitchFamily="34" charset="0"/>
                    <a:cs typeface="Arial" panose="020B0604020202020204" pitchFamily="34" charset="0"/>
                  </a:endParaRPr>
                </a:p>
              </xdr:txBody>
            </xdr:sp>
          </xdr:grpSp>
          <xdr:sp macro="" textlink="">
            <xdr:nvSpPr>
              <xdr:cNvPr id="8" name="TextBox 15">
                <a:extLst>
                  <a:ext uri="{FF2B5EF4-FFF2-40B4-BE49-F238E27FC236}">
                    <a16:creationId xmlns:a16="http://schemas.microsoft.com/office/drawing/2014/main" id="{226659A6-2686-194F-B730-C455F1B0ABD1}"/>
                  </a:ext>
                </a:extLst>
              </xdr:cNvPr>
              <xdr:cNvSpPr txBox="1"/>
            </xdr:nvSpPr>
            <xdr:spPr>
              <a:xfrm>
                <a:off x="7726965" y="782658"/>
                <a:ext cx="1090246" cy="70788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4000"/>
                  <a:t>1</a:t>
                </a:r>
              </a:p>
            </xdr:txBody>
          </xdr:sp>
          <xdr:sp macro="" textlink="">
            <xdr:nvSpPr>
              <xdr:cNvPr id="9" name="TextBox 16">
                <a:extLst>
                  <a:ext uri="{FF2B5EF4-FFF2-40B4-BE49-F238E27FC236}">
                    <a16:creationId xmlns:a16="http://schemas.microsoft.com/office/drawing/2014/main" id="{6FE68947-C4F6-0044-A847-CDB5B22871CE}"/>
                  </a:ext>
                </a:extLst>
              </xdr:cNvPr>
              <xdr:cNvSpPr txBox="1"/>
            </xdr:nvSpPr>
            <xdr:spPr>
              <a:xfrm>
                <a:off x="6559114" y="1253240"/>
                <a:ext cx="1090246" cy="70788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4000"/>
                  <a:t>2</a:t>
                </a:r>
              </a:p>
            </xdr:txBody>
          </xdr:sp>
          <xdr:sp macro="" textlink="">
            <xdr:nvSpPr>
              <xdr:cNvPr id="10" name="TextBox 17">
                <a:extLst>
                  <a:ext uri="{FF2B5EF4-FFF2-40B4-BE49-F238E27FC236}">
                    <a16:creationId xmlns:a16="http://schemas.microsoft.com/office/drawing/2014/main" id="{6E32FE40-69FB-CA41-9644-A4B07493F0CB}"/>
                  </a:ext>
                </a:extLst>
              </xdr:cNvPr>
              <xdr:cNvSpPr txBox="1"/>
            </xdr:nvSpPr>
            <xdr:spPr>
              <a:xfrm>
                <a:off x="7581264" y="1987294"/>
                <a:ext cx="1090246" cy="70788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4000"/>
                  <a:t>3</a:t>
                </a:r>
              </a:p>
            </xdr:txBody>
          </xdr:sp>
          <xdr:sp macro="" textlink="">
            <xdr:nvSpPr>
              <xdr:cNvPr id="11" name="TextBox 18">
                <a:extLst>
                  <a:ext uri="{FF2B5EF4-FFF2-40B4-BE49-F238E27FC236}">
                    <a16:creationId xmlns:a16="http://schemas.microsoft.com/office/drawing/2014/main" id="{C6E00C91-25D9-694D-B971-D52CFF85D616}"/>
                  </a:ext>
                </a:extLst>
              </xdr:cNvPr>
              <xdr:cNvSpPr txBox="1"/>
            </xdr:nvSpPr>
            <xdr:spPr>
              <a:xfrm>
                <a:off x="5954747" y="2353468"/>
                <a:ext cx="1090246" cy="70788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4000"/>
                  <a:t>4</a:t>
                </a:r>
              </a:p>
            </xdr:txBody>
          </xdr:sp>
          <xdr:sp macro="" textlink="">
            <xdr:nvSpPr>
              <xdr:cNvPr id="12" name="TextBox 19">
                <a:extLst>
                  <a:ext uri="{FF2B5EF4-FFF2-40B4-BE49-F238E27FC236}">
                    <a16:creationId xmlns:a16="http://schemas.microsoft.com/office/drawing/2014/main" id="{FC11AA2B-2BF3-BA4F-BECC-847315B3D724}"/>
                  </a:ext>
                </a:extLst>
              </xdr:cNvPr>
              <xdr:cNvSpPr txBox="1"/>
            </xdr:nvSpPr>
            <xdr:spPr>
              <a:xfrm>
                <a:off x="7200883" y="3019838"/>
                <a:ext cx="1090246" cy="70788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4000"/>
                  <a:t>5</a:t>
                </a:r>
              </a:p>
            </xdr:txBody>
          </xdr:sp>
          <xdr:sp macro="" textlink="">
            <xdr:nvSpPr>
              <xdr:cNvPr id="13" name="TextBox 20">
                <a:extLst>
                  <a:ext uri="{FF2B5EF4-FFF2-40B4-BE49-F238E27FC236}">
                    <a16:creationId xmlns:a16="http://schemas.microsoft.com/office/drawing/2014/main" id="{190E0F91-1B14-FF4C-B43F-7EB3B7035ADD}"/>
                  </a:ext>
                </a:extLst>
              </xdr:cNvPr>
              <xdr:cNvSpPr txBox="1"/>
            </xdr:nvSpPr>
            <xdr:spPr>
              <a:xfrm>
                <a:off x="5912556" y="4171511"/>
                <a:ext cx="1090246" cy="70788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4000"/>
                  <a:t>6</a:t>
                </a:r>
              </a:p>
            </xdr:txBody>
          </xdr:sp>
        </xdr:grpSp>
        <xdr:sp macro="" textlink="">
          <xdr:nvSpPr>
            <xdr:cNvPr id="6" name="TextBox 22">
              <a:extLst>
                <a:ext uri="{FF2B5EF4-FFF2-40B4-BE49-F238E27FC236}">
                  <a16:creationId xmlns:a16="http://schemas.microsoft.com/office/drawing/2014/main" id="{3754F3CF-5C0D-764A-87CE-09E445F55B8F}"/>
                </a:ext>
              </a:extLst>
            </xdr:cNvPr>
            <xdr:cNvSpPr txBox="1"/>
          </xdr:nvSpPr>
          <xdr:spPr>
            <a:xfrm>
              <a:off x="1578439" y="163272"/>
              <a:ext cx="2949330" cy="70788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4000"/>
                <a:t>Region A</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190500</xdr:rowOff>
    </xdr:from>
    <xdr:to>
      <xdr:col>5</xdr:col>
      <xdr:colOff>469900</xdr:colOff>
      <xdr:row>26</xdr:row>
      <xdr:rowOff>136148</xdr:rowOff>
    </xdr:to>
    <xdr:pic>
      <xdr:nvPicPr>
        <xdr:cNvPr id="2" name="Picture 1">
          <a:extLst>
            <a:ext uri="{FF2B5EF4-FFF2-40B4-BE49-F238E27FC236}">
              <a16:creationId xmlns:a16="http://schemas.microsoft.com/office/drawing/2014/main" id="{9DB25033-2414-7B43-87B3-57B003F09B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96900"/>
          <a:ext cx="4597400" cy="48224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215899</xdr:colOff>
      <xdr:row>2</xdr:row>
      <xdr:rowOff>101600</xdr:rowOff>
    </xdr:from>
    <xdr:to>
      <xdr:col>4</xdr:col>
      <xdr:colOff>851356</xdr:colOff>
      <xdr:row>30</xdr:row>
      <xdr:rowOff>25400</xdr:rowOff>
    </xdr:to>
    <xdr:pic>
      <xdr:nvPicPr>
        <xdr:cNvPr id="2" name="Picture 1">
          <a:extLst>
            <a:ext uri="{FF2B5EF4-FFF2-40B4-BE49-F238E27FC236}">
              <a16:creationId xmlns:a16="http://schemas.microsoft.com/office/drawing/2014/main" id="{8ED953D9-2FA4-294C-A542-BD4B1F79EE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899" y="508000"/>
          <a:ext cx="3937457" cy="5613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kamai.com/us/en/resources/our-thinking/state-of-the-internet-report/archives/state-of-the-internet-security-reports-2017.jsp"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hyperlink" Target="https://venturebeat.com/2019/12/10/the-definitive-guide-to-5g-low-mid-and-high-band-speed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newamerica.org/oti/reports/cost-connectivity-west-virginia/" TargetMode="External"/><Relationship Id="rId1" Type="http://schemas.openxmlformats.org/officeDocument/2006/relationships/hyperlink" Target="https://www.newamerica.org/oti/reports/cost-connectivity-2020/"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speedtest.net/insights/blog/5g-advances-uk-countries-2020/" TargetMode="External"/><Relationship Id="rId1" Type="http://schemas.openxmlformats.org/officeDocument/2006/relationships/hyperlink" Target="https://www.ofcom.org.uk/__data/assets/pdf_file/0022/189112/pricing-trends-communication-services-report.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elsen.com/wp-content/uploads/sites/3/2019/04/total-audience-report-q3-2015.pdf" TargetMode="External"/><Relationship Id="rId2" Type="http://schemas.openxmlformats.org/officeDocument/2006/relationships/hyperlink" Target="https://www.nielsen.com/us/en/insights/report/2020/the-nielsen-total-audience-report-august-2020/" TargetMode="External"/><Relationship Id="rId1" Type="http://schemas.openxmlformats.org/officeDocument/2006/relationships/hyperlink" Target="https://www.nielsen.com/us/en/insights/article/2020/the-nielsen-total-audience-report-hub/" TargetMode="External"/><Relationship Id="rId4" Type="http://schemas.openxmlformats.org/officeDocument/2006/relationships/hyperlink" Target="https://www.nielsen.com/wp-content/uploads/sites/3/2019/04/total-audience-report-q2-2017.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broadbandnow.com/guides/how-much-internet-speed-do-i-need" TargetMode="External"/><Relationship Id="rId2" Type="http://schemas.openxmlformats.org/officeDocument/2006/relationships/hyperlink" Target="https://www.cbtnuggets.com/blog/cbt-nuggets/how-much-bandwidth-do-you-really-need" TargetMode="External"/><Relationship Id="rId1" Type="http://schemas.openxmlformats.org/officeDocument/2006/relationships/hyperlink" Target="https://www.nerdwallet.com/blog/utilities/how-to-decide-what-internet-speed-you-need/"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nces.ed.gov/programs/digest/d19/tables/dt19_311.22.asp" TargetMode="External"/><Relationship Id="rId1" Type="http://schemas.openxmlformats.org/officeDocument/2006/relationships/hyperlink" Target="https://nces.ed.gov/fastfacts/display.asp?id=8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news.stanford.edu/2020/06/29/snapshot-new-working-home-economy/" TargetMode="External"/><Relationship Id="rId1" Type="http://schemas.openxmlformats.org/officeDocument/2006/relationships/hyperlink" Target="https://www.frbatlanta.org/blogs/macroblog/2020/05/28/firms-expect-working-from-home-to-triple"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25"/>
  <sheetViews>
    <sheetView tabSelected="1" workbookViewId="0">
      <selection activeCell="A25" sqref="A25:XFD25"/>
    </sheetView>
  </sheetViews>
  <sheetFormatPr defaultColWidth="14.5" defaultRowHeight="15.75" customHeight="1"/>
  <cols>
    <col min="1" max="2" width="14.5" style="8"/>
    <col min="3" max="10" width="6.5" style="8" customWidth="1"/>
    <col min="11" max="11" width="31.5" style="8" bestFit="1" customWidth="1"/>
    <col min="12" max="16384" width="14.5" style="8"/>
  </cols>
  <sheetData>
    <row r="1" spans="1:26" ht="15.75" customHeight="1">
      <c r="A1" s="71" t="s">
        <v>225</v>
      </c>
      <c r="B1" s="68"/>
      <c r="C1" s="68"/>
      <c r="D1" s="68"/>
      <c r="E1" s="68"/>
      <c r="F1" s="68"/>
      <c r="G1" s="68"/>
      <c r="H1" s="68"/>
      <c r="I1" s="68"/>
      <c r="J1" s="68"/>
      <c r="K1" s="68"/>
    </row>
    <row r="2" spans="1:26" ht="57" customHeight="1">
      <c r="A2" s="67" t="s">
        <v>213</v>
      </c>
      <c r="B2" s="68"/>
      <c r="C2" s="68"/>
      <c r="D2" s="68"/>
      <c r="E2" s="68"/>
      <c r="F2" s="68"/>
      <c r="G2" s="68"/>
      <c r="H2" s="68"/>
      <c r="I2" s="68"/>
      <c r="J2" s="68"/>
      <c r="K2" s="68"/>
    </row>
    <row r="3" spans="1:26" ht="57" customHeight="1">
      <c r="A3" s="72" t="s">
        <v>212</v>
      </c>
      <c r="B3" s="68"/>
      <c r="C3" s="68"/>
      <c r="D3" s="68"/>
      <c r="E3" s="68"/>
      <c r="F3" s="68"/>
      <c r="G3" s="68"/>
      <c r="H3" s="68"/>
      <c r="I3" s="68"/>
      <c r="J3" s="68"/>
      <c r="K3" s="68"/>
    </row>
    <row r="4" spans="1:26" ht="57" customHeight="1">
      <c r="A4" s="67" t="s">
        <v>0</v>
      </c>
      <c r="B4" s="68"/>
      <c r="C4" s="68"/>
      <c r="D4" s="68"/>
      <c r="E4" s="68"/>
      <c r="F4" s="68"/>
      <c r="G4" s="68"/>
      <c r="H4" s="68"/>
      <c r="I4" s="68"/>
      <c r="J4" s="68"/>
      <c r="K4" s="68"/>
    </row>
    <row r="5" spans="1:26" ht="57" customHeight="1">
      <c r="A5" s="67" t="s">
        <v>190</v>
      </c>
      <c r="B5" s="68"/>
      <c r="C5" s="68"/>
      <c r="D5" s="68"/>
      <c r="E5" s="68"/>
      <c r="F5" s="68"/>
      <c r="G5" s="68"/>
      <c r="H5" s="68"/>
      <c r="I5" s="68"/>
      <c r="J5" s="68"/>
      <c r="K5" s="68"/>
    </row>
    <row r="7" spans="1:26" ht="15.75" customHeight="1">
      <c r="A7" s="9"/>
      <c r="B7" s="9"/>
      <c r="C7" s="69" t="s">
        <v>1</v>
      </c>
      <c r="D7" s="70"/>
      <c r="E7" s="69" t="s">
        <v>2</v>
      </c>
      <c r="F7" s="70"/>
      <c r="G7" s="69" t="s">
        <v>3</v>
      </c>
      <c r="H7" s="70"/>
      <c r="I7" s="69" t="s">
        <v>4</v>
      </c>
      <c r="J7" s="70"/>
      <c r="K7" s="10" t="s">
        <v>5</v>
      </c>
      <c r="L7" s="9"/>
      <c r="M7" s="9"/>
      <c r="N7" s="9"/>
      <c r="O7" s="9"/>
      <c r="P7" s="9"/>
      <c r="Q7" s="9"/>
      <c r="R7" s="9"/>
      <c r="S7" s="9"/>
      <c r="T7" s="9"/>
      <c r="U7" s="9"/>
      <c r="V7" s="9"/>
      <c r="W7" s="9"/>
      <c r="X7" s="9"/>
      <c r="Y7" s="9"/>
      <c r="Z7" s="9"/>
    </row>
    <row r="8" spans="1:26" ht="15.75" customHeight="1">
      <c r="A8" s="11" t="s">
        <v>6</v>
      </c>
      <c r="B8" s="11" t="s">
        <v>7</v>
      </c>
      <c r="C8" s="11" t="s">
        <v>8</v>
      </c>
      <c r="D8" s="11" t="s">
        <v>9</v>
      </c>
      <c r="E8" s="11" t="s">
        <v>8</v>
      </c>
      <c r="F8" s="11" t="s">
        <v>9</v>
      </c>
      <c r="G8" s="11" t="s">
        <v>8</v>
      </c>
      <c r="H8" s="11" t="s">
        <v>9</v>
      </c>
      <c r="I8" s="11" t="s">
        <v>8</v>
      </c>
      <c r="J8" s="11" t="s">
        <v>9</v>
      </c>
      <c r="K8" s="12"/>
    </row>
    <row r="9" spans="1:26" ht="15.75" customHeight="1">
      <c r="A9" s="13" t="s">
        <v>10</v>
      </c>
      <c r="B9" s="13">
        <v>2021</v>
      </c>
      <c r="C9" s="14" t="s">
        <v>11</v>
      </c>
      <c r="D9" s="14" t="s">
        <v>11</v>
      </c>
      <c r="E9" s="14">
        <v>173.67</v>
      </c>
      <c r="F9" s="14">
        <v>81.069999999999993</v>
      </c>
      <c r="G9" s="14" t="s">
        <v>11</v>
      </c>
      <c r="H9" s="14" t="s">
        <v>11</v>
      </c>
      <c r="I9" s="14">
        <v>67.33</v>
      </c>
      <c r="J9" s="14">
        <v>59.19</v>
      </c>
      <c r="K9" s="12"/>
    </row>
    <row r="10" spans="1:26" ht="15.75" customHeight="1">
      <c r="A10" s="13" t="s">
        <v>10</v>
      </c>
      <c r="B10" s="13">
        <v>2020</v>
      </c>
      <c r="C10" s="14" t="s">
        <v>11</v>
      </c>
      <c r="D10" s="14" t="s">
        <v>11</v>
      </c>
      <c r="E10" s="14">
        <v>134.77000000000001</v>
      </c>
      <c r="F10" s="14">
        <v>65.819999999999993</v>
      </c>
      <c r="G10" s="14" t="s">
        <v>11</v>
      </c>
      <c r="H10" s="14" t="s">
        <v>11</v>
      </c>
      <c r="I10" s="14">
        <v>41.23</v>
      </c>
      <c r="J10" s="14">
        <v>35.21</v>
      </c>
      <c r="K10" s="12"/>
    </row>
    <row r="11" spans="1:26" ht="15.75" customHeight="1">
      <c r="A11" s="13" t="s">
        <v>10</v>
      </c>
      <c r="B11" s="13">
        <v>2019</v>
      </c>
      <c r="C11" s="14" t="s">
        <v>11</v>
      </c>
      <c r="D11" s="14" t="s">
        <v>11</v>
      </c>
      <c r="E11" s="14">
        <v>111.65</v>
      </c>
      <c r="F11" s="14">
        <v>55.17</v>
      </c>
      <c r="G11" s="14" t="s">
        <v>11</v>
      </c>
      <c r="H11" s="14" t="s">
        <v>11</v>
      </c>
      <c r="I11" s="14">
        <v>33.19</v>
      </c>
      <c r="J11" s="14">
        <v>20.12</v>
      </c>
      <c r="K11" s="13" t="s">
        <v>12</v>
      </c>
    </row>
    <row r="12" spans="1:26" ht="15.75" customHeight="1">
      <c r="A12" s="13" t="s">
        <v>10</v>
      </c>
      <c r="B12" s="13">
        <v>2018</v>
      </c>
      <c r="C12" s="14" t="s">
        <v>11</v>
      </c>
      <c r="D12" s="14" t="s">
        <v>11</v>
      </c>
      <c r="E12" s="14">
        <v>83.2</v>
      </c>
      <c r="F12" s="14">
        <v>55.59</v>
      </c>
      <c r="G12" s="14" t="s">
        <v>11</v>
      </c>
      <c r="H12" s="14" t="s">
        <v>11</v>
      </c>
      <c r="I12" s="14">
        <v>27.39</v>
      </c>
      <c r="J12" s="14">
        <v>26.8</v>
      </c>
      <c r="K12" s="12"/>
    </row>
    <row r="13" spans="1:26" ht="15.75" customHeight="1">
      <c r="A13" s="13" t="s">
        <v>10</v>
      </c>
      <c r="B13" s="13">
        <v>2017</v>
      </c>
      <c r="C13" s="14" t="s">
        <v>11</v>
      </c>
      <c r="D13" s="14" t="s">
        <v>11</v>
      </c>
      <c r="E13" s="14">
        <v>70.75</v>
      </c>
      <c r="F13" s="14">
        <v>49.22</v>
      </c>
      <c r="G13" s="14" t="s">
        <v>11</v>
      </c>
      <c r="H13" s="14" t="s">
        <v>11</v>
      </c>
      <c r="I13" s="14">
        <v>23.05</v>
      </c>
      <c r="J13" s="14">
        <v>25.83</v>
      </c>
      <c r="K13" s="12"/>
    </row>
    <row r="14" spans="1:26" ht="15.75" customHeight="1">
      <c r="A14" s="13" t="s">
        <v>13</v>
      </c>
      <c r="B14" s="13">
        <v>2017</v>
      </c>
      <c r="C14" s="14">
        <v>18.7</v>
      </c>
      <c r="D14" s="14">
        <v>16.899999999999999</v>
      </c>
      <c r="E14" s="14">
        <v>86.5</v>
      </c>
      <c r="F14" s="14">
        <v>76.099999999999994</v>
      </c>
      <c r="G14" s="14">
        <v>10.7</v>
      </c>
      <c r="H14" s="14">
        <v>26</v>
      </c>
      <c r="I14" s="14" t="s">
        <v>11</v>
      </c>
      <c r="J14" s="14" t="s">
        <v>11</v>
      </c>
      <c r="K14" s="12"/>
    </row>
    <row r="15" spans="1:26" ht="15.75" customHeight="1">
      <c r="A15" s="13" t="s">
        <v>13</v>
      </c>
      <c r="B15" s="13">
        <v>2016</v>
      </c>
      <c r="C15" s="14">
        <v>15.3</v>
      </c>
      <c r="D15" s="14">
        <v>14.9</v>
      </c>
      <c r="E15" s="14">
        <v>67.8</v>
      </c>
      <c r="F15" s="14">
        <v>61</v>
      </c>
      <c r="G15" s="14">
        <v>5.0999999999999996</v>
      </c>
      <c r="H15" s="14">
        <v>27.9</v>
      </c>
      <c r="I15" s="14">
        <v>19.8</v>
      </c>
      <c r="J15" s="14">
        <v>66.5</v>
      </c>
      <c r="K15" s="12"/>
    </row>
    <row r="16" spans="1:26" ht="15.75" customHeight="1">
      <c r="A16" s="13" t="s">
        <v>13</v>
      </c>
      <c r="B16" s="13">
        <v>2015</v>
      </c>
      <c r="C16" s="14">
        <v>11.9</v>
      </c>
      <c r="D16" s="14">
        <v>11.6</v>
      </c>
      <c r="E16" s="14">
        <v>53.3</v>
      </c>
      <c r="F16" s="14">
        <v>51.6</v>
      </c>
      <c r="G16" s="14">
        <v>4</v>
      </c>
      <c r="H16" s="14">
        <v>20.399999999999999</v>
      </c>
      <c r="I16" s="14">
        <v>17.8</v>
      </c>
      <c r="J16" s="14">
        <v>90.9</v>
      </c>
      <c r="K16" s="13" t="s">
        <v>14</v>
      </c>
    </row>
    <row r="17" spans="1:11" ht="15.75" customHeight="1">
      <c r="A17" s="13" t="s">
        <v>13</v>
      </c>
      <c r="B17" s="13">
        <v>2014</v>
      </c>
      <c r="C17" s="14">
        <v>10.5</v>
      </c>
      <c r="D17" s="14">
        <v>9.9</v>
      </c>
      <c r="E17" s="14">
        <v>40.6</v>
      </c>
      <c r="F17" s="14">
        <v>42.2</v>
      </c>
      <c r="G17" s="14">
        <v>5.5</v>
      </c>
      <c r="H17" s="14">
        <v>5.6</v>
      </c>
      <c r="I17" s="14">
        <v>15.1</v>
      </c>
      <c r="J17" s="14">
        <v>34.6</v>
      </c>
      <c r="K17" s="12"/>
    </row>
    <row r="18" spans="1:11" ht="15.75" customHeight="1">
      <c r="A18" s="13" t="s">
        <v>13</v>
      </c>
      <c r="B18" s="13">
        <v>2013</v>
      </c>
      <c r="C18" s="14">
        <v>8.6</v>
      </c>
      <c r="D18" s="14">
        <v>7.9</v>
      </c>
      <c r="E18" s="14">
        <v>36.6</v>
      </c>
      <c r="F18" s="14">
        <v>36.299999999999997</v>
      </c>
      <c r="G18" s="14">
        <f>(4.3 + 2.6 + 1.4)/3</f>
        <v>2.7666666666666671</v>
      </c>
      <c r="H18" s="14">
        <f>(3+3.5+2.7)/3</f>
        <v>3.0666666666666664</v>
      </c>
      <c r="I18" s="14">
        <v>15.1</v>
      </c>
      <c r="J18" s="14">
        <f>(17.3+17.5+23.2)/3</f>
        <v>19.333333333333332</v>
      </c>
      <c r="K18" s="12"/>
    </row>
    <row r="19" spans="1:11" ht="15.75" customHeight="1">
      <c r="A19" s="13" t="s">
        <v>13</v>
      </c>
      <c r="B19" s="13">
        <v>2012</v>
      </c>
      <c r="C19" s="14">
        <v>6.7</v>
      </c>
      <c r="D19" s="14">
        <v>5.6</v>
      </c>
      <c r="E19" s="14">
        <v>28.7</v>
      </c>
      <c r="F19" s="14">
        <v>23.7</v>
      </c>
      <c r="G19" s="14">
        <f>(2.515+1.118+1.222)/3</f>
        <v>1.6183333333333334</v>
      </c>
      <c r="H19" s="14">
        <f>(3.502+3.433+2.691)/3</f>
        <v>3.2086666666666663</v>
      </c>
      <c r="I19" s="14">
        <f>(7.388+4.613+3.884)/3</f>
        <v>5.2950000000000008</v>
      </c>
      <c r="J19" s="14">
        <f>(14.143+12.378+27.869)/3</f>
        <v>18.13</v>
      </c>
      <c r="K19" s="13" t="s">
        <v>15</v>
      </c>
    </row>
    <row r="20" spans="1:11" ht="15.75" customHeight="1">
      <c r="A20" s="13" t="s">
        <v>13</v>
      </c>
      <c r="B20" s="13">
        <v>2011</v>
      </c>
      <c r="C20" s="14">
        <v>5.3</v>
      </c>
      <c r="D20" s="14">
        <v>4.5999999999999996</v>
      </c>
      <c r="E20" s="14">
        <v>21.2</v>
      </c>
      <c r="F20" s="14">
        <v>17.2</v>
      </c>
      <c r="G20" s="14">
        <f>(1.092+1.759+1.007)/3</f>
        <v>1.2859999999999998</v>
      </c>
      <c r="H20" s="14">
        <f>(4.206+2.413+1.605)/3</f>
        <v>2.7413333333333334</v>
      </c>
      <c r="I20" s="14">
        <f>(3.93+4.468+2.964)/3</f>
        <v>3.7873333333333332</v>
      </c>
      <c r="J20" s="14">
        <f>(22.703+11.194+11.275)/3</f>
        <v>15.057333333333332</v>
      </c>
      <c r="K20" s="12"/>
    </row>
    <row r="21" spans="1:11" ht="15.75" customHeight="1">
      <c r="A21" s="13" t="s">
        <v>13</v>
      </c>
      <c r="B21" s="13">
        <v>2010</v>
      </c>
      <c r="C21" s="14">
        <v>4.7</v>
      </c>
      <c r="D21" s="14">
        <v>3.8</v>
      </c>
      <c r="E21" s="14">
        <v>16</v>
      </c>
      <c r="F21" s="14">
        <v>12.3</v>
      </c>
      <c r="G21" s="14">
        <f>(0.845+0.829+0.979)/3</f>
        <v>0.8843333333333333</v>
      </c>
      <c r="H21" s="14">
        <f>(1.043+2.065+3.701)/3</f>
        <v>2.2696666666666663</v>
      </c>
      <c r="I21" s="14">
        <f>(1.912+2.13+2.496)/3</f>
        <v>2.1793333333333336</v>
      </c>
      <c r="J21" s="14">
        <f>(6.647+8.613+34.584)/3</f>
        <v>16.614666666666668</v>
      </c>
      <c r="K21" s="13" t="s">
        <v>16</v>
      </c>
    </row>
    <row r="22" spans="1:11" ht="15.75" customHeight="1">
      <c r="A22" s="13" t="s">
        <v>13</v>
      </c>
      <c r="B22" s="13">
        <v>2009</v>
      </c>
      <c r="C22" s="14">
        <v>4.2</v>
      </c>
      <c r="D22" s="14">
        <v>3.7</v>
      </c>
      <c r="E22" s="14" t="s">
        <v>11</v>
      </c>
      <c r="F22" s="14" t="s">
        <v>11</v>
      </c>
      <c r="G22" s="14" t="s">
        <v>11</v>
      </c>
      <c r="H22" s="14" t="s">
        <v>11</v>
      </c>
      <c r="I22" s="14" t="s">
        <v>11</v>
      </c>
      <c r="J22" s="14" t="s">
        <v>11</v>
      </c>
      <c r="K22" s="12"/>
    </row>
    <row r="25" spans="1:11" ht="60" customHeight="1">
      <c r="A25" s="67" t="s">
        <v>17</v>
      </c>
      <c r="B25" s="68"/>
      <c r="C25" s="68"/>
      <c r="D25" s="68"/>
      <c r="E25" s="68"/>
      <c r="F25" s="68"/>
      <c r="G25" s="68"/>
      <c r="H25" s="68"/>
      <c r="I25" s="68"/>
      <c r="J25" s="68"/>
      <c r="K25" s="68"/>
    </row>
  </sheetData>
  <mergeCells count="10">
    <mergeCell ref="A25:K25"/>
    <mergeCell ref="G7:H7"/>
    <mergeCell ref="I7:J7"/>
    <mergeCell ref="A1:K1"/>
    <mergeCell ref="A2:K2"/>
    <mergeCell ref="A3:K3"/>
    <mergeCell ref="A4:K4"/>
    <mergeCell ref="A5:K5"/>
    <mergeCell ref="C7:D7"/>
    <mergeCell ref="E7:F7"/>
  </mergeCells>
  <hyperlinks>
    <hyperlink ref="A3"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8261C-D797-C446-854B-C4A9462E0A25}">
  <dimension ref="A1:N33"/>
  <sheetViews>
    <sheetView workbookViewId="0"/>
  </sheetViews>
  <sheetFormatPr defaultColWidth="10.81640625" defaultRowHeight="15.25"/>
  <cols>
    <col min="1" max="4" width="10.81640625" style="1"/>
    <col min="5" max="5" width="11.81640625" style="1" customWidth="1"/>
    <col min="6" max="6" width="77.1796875" style="1" bestFit="1" customWidth="1"/>
    <col min="7" max="7" width="9.81640625" style="1" bestFit="1" customWidth="1"/>
    <col min="8" max="14" width="12.31640625" style="1" bestFit="1" customWidth="1"/>
    <col min="15" max="16384" width="10.81640625" style="1"/>
  </cols>
  <sheetData>
    <row r="1" spans="1:14" ht="15.5">
      <c r="A1" s="57" t="s">
        <v>207</v>
      </c>
    </row>
    <row r="2" spans="1:14">
      <c r="G2" s="2" t="s">
        <v>189</v>
      </c>
      <c r="H2" s="2" t="s">
        <v>154</v>
      </c>
      <c r="I2" s="2" t="s">
        <v>155</v>
      </c>
      <c r="J2" s="2" t="s">
        <v>156</v>
      </c>
      <c r="K2" s="2" t="s">
        <v>157</v>
      </c>
      <c r="L2" s="2" t="s">
        <v>158</v>
      </c>
      <c r="M2" s="2" t="s">
        <v>159</v>
      </c>
      <c r="N2" s="2" t="s">
        <v>188</v>
      </c>
    </row>
    <row r="3" spans="1:14">
      <c r="F3" s="3" t="s">
        <v>160</v>
      </c>
      <c r="G3" s="7">
        <v>9505</v>
      </c>
      <c r="H3" s="2">
        <v>1468</v>
      </c>
      <c r="I3" s="2">
        <v>1624</v>
      </c>
      <c r="J3" s="2">
        <v>1012</v>
      </c>
      <c r="K3" s="2">
        <v>1295</v>
      </c>
      <c r="L3" s="2">
        <v>1309</v>
      </c>
      <c r="M3" s="2">
        <v>1008</v>
      </c>
      <c r="N3" s="2">
        <v>1789</v>
      </c>
    </row>
    <row r="4" spans="1:14">
      <c r="F4" s="3" t="s">
        <v>161</v>
      </c>
      <c r="G4" s="1">
        <v>41.3</v>
      </c>
      <c r="H4" s="2">
        <v>41.67</v>
      </c>
      <c r="I4" s="2">
        <v>34.9</v>
      </c>
      <c r="J4" s="2">
        <v>47.1</v>
      </c>
      <c r="K4" s="2">
        <v>44.7</v>
      </c>
      <c r="L4" s="2">
        <v>32.700000000000003</v>
      </c>
      <c r="M4" s="2">
        <v>47.9</v>
      </c>
      <c r="N4" s="2">
        <v>40.700000000000003</v>
      </c>
    </row>
    <row r="5" spans="1:14">
      <c r="F5" s="3" t="s">
        <v>162</v>
      </c>
      <c r="G5" s="2">
        <v>4.45</v>
      </c>
      <c r="H5" s="2"/>
      <c r="I5" s="2"/>
      <c r="J5" s="2"/>
      <c r="K5" s="2"/>
      <c r="L5" s="2"/>
      <c r="M5" s="2"/>
      <c r="N5" s="2"/>
    </row>
    <row r="6" spans="1:14">
      <c r="F6" s="3" t="s">
        <v>163</v>
      </c>
      <c r="G6" s="2">
        <v>4.07</v>
      </c>
      <c r="H6" s="2"/>
      <c r="I6" s="2"/>
      <c r="J6" s="2"/>
      <c r="K6" s="2"/>
      <c r="L6" s="2"/>
      <c r="M6" s="2"/>
      <c r="N6" s="2"/>
    </row>
    <row r="7" spans="1:14">
      <c r="F7" s="3" t="s">
        <v>164</v>
      </c>
      <c r="G7" s="2">
        <v>4.34</v>
      </c>
      <c r="H7" s="2"/>
      <c r="I7" s="2"/>
      <c r="J7" s="2"/>
      <c r="K7" s="2"/>
      <c r="L7" s="2"/>
      <c r="M7" s="2"/>
      <c r="N7" s="2"/>
    </row>
    <row r="8" spans="1:14">
      <c r="F8" s="3" t="s">
        <v>165</v>
      </c>
      <c r="G8" s="2">
        <v>4.2699999999999996</v>
      </c>
      <c r="H8" s="2"/>
      <c r="I8" s="2"/>
      <c r="J8" s="2"/>
      <c r="K8" s="2"/>
      <c r="L8" s="2"/>
      <c r="M8" s="2"/>
      <c r="N8" s="2"/>
    </row>
    <row r="9" spans="1:14">
      <c r="F9" s="3" t="s">
        <v>166</v>
      </c>
      <c r="G9" s="2">
        <v>7.87</v>
      </c>
      <c r="H9" s="2"/>
      <c r="I9" s="2"/>
      <c r="J9" s="2"/>
      <c r="K9" s="2"/>
      <c r="L9" s="2"/>
      <c r="M9" s="2"/>
      <c r="N9" s="2"/>
    </row>
    <row r="10" spans="1:14">
      <c r="F10" s="4" t="s">
        <v>167</v>
      </c>
      <c r="G10" s="2">
        <v>25.52</v>
      </c>
      <c r="H10" s="2"/>
      <c r="I10" s="2"/>
      <c r="J10" s="2"/>
      <c r="K10" s="2"/>
      <c r="L10" s="2"/>
      <c r="M10" s="2"/>
      <c r="N10" s="2"/>
    </row>
    <row r="11" spans="1:14">
      <c r="F11" s="4" t="s">
        <v>168</v>
      </c>
      <c r="G11" s="2">
        <v>15.49</v>
      </c>
      <c r="H11" s="2"/>
      <c r="I11" s="2"/>
      <c r="J11" s="2"/>
      <c r="K11" s="2"/>
      <c r="L11" s="2"/>
      <c r="M11" s="2"/>
      <c r="N11" s="2"/>
    </row>
    <row r="12" spans="1:14">
      <c r="F12" s="4" t="s">
        <v>169</v>
      </c>
      <c r="G12" s="2">
        <v>11.64</v>
      </c>
      <c r="H12" s="2"/>
      <c r="I12" s="2"/>
      <c r="J12" s="2"/>
      <c r="K12" s="2"/>
      <c r="L12" s="2"/>
      <c r="M12" s="2"/>
      <c r="N12" s="2"/>
    </row>
    <row r="13" spans="1:14">
      <c r="F13" s="4" t="s">
        <v>170</v>
      </c>
      <c r="G13" s="2">
        <v>5.53</v>
      </c>
      <c r="H13" s="2"/>
      <c r="I13" s="2"/>
      <c r="J13" s="2"/>
      <c r="K13" s="2"/>
      <c r="L13" s="2"/>
      <c r="M13" s="2"/>
      <c r="N13" s="2"/>
    </row>
    <row r="14" spans="1:14">
      <c r="F14" s="4" t="s">
        <v>171</v>
      </c>
      <c r="G14" s="2">
        <v>4.79</v>
      </c>
      <c r="H14" s="2"/>
      <c r="I14" s="2"/>
      <c r="J14" s="2"/>
      <c r="K14" s="2"/>
      <c r="L14" s="2"/>
      <c r="M14" s="2"/>
      <c r="N14" s="2"/>
    </row>
    <row r="15" spans="1:14">
      <c r="F15" s="4" t="s">
        <v>172</v>
      </c>
      <c r="G15" s="2">
        <v>7.2</v>
      </c>
      <c r="H15" s="2"/>
      <c r="I15" s="2"/>
      <c r="J15" s="2"/>
      <c r="K15" s="2"/>
      <c r="L15" s="2"/>
      <c r="M15" s="2"/>
      <c r="N15" s="2"/>
    </row>
    <row r="16" spans="1:14">
      <c r="F16" s="4" t="s">
        <v>173</v>
      </c>
      <c r="G16" s="2">
        <v>3.32</v>
      </c>
      <c r="H16" s="2"/>
      <c r="I16" s="2"/>
      <c r="J16" s="2"/>
      <c r="K16" s="2"/>
      <c r="L16" s="2"/>
      <c r="M16" s="2"/>
      <c r="N16" s="2"/>
    </row>
    <row r="17" spans="6:14">
      <c r="F17" s="3" t="s">
        <v>174</v>
      </c>
      <c r="G17" s="2">
        <v>1.51</v>
      </c>
      <c r="H17" s="2"/>
      <c r="I17" s="2"/>
      <c r="J17" s="2"/>
      <c r="K17" s="2"/>
      <c r="L17" s="2"/>
      <c r="M17" s="2"/>
      <c r="N17" s="2"/>
    </row>
    <row r="18" spans="6:14">
      <c r="F18" s="3" t="s">
        <v>175</v>
      </c>
      <c r="G18" s="2">
        <v>102486</v>
      </c>
      <c r="H18" s="2">
        <v>214125</v>
      </c>
      <c r="I18" s="2">
        <v>96209</v>
      </c>
      <c r="J18" s="2">
        <v>190729</v>
      </c>
      <c r="K18" s="2">
        <v>139261</v>
      </c>
      <c r="L18" s="2">
        <v>152500</v>
      </c>
      <c r="M18" s="2">
        <v>206875</v>
      </c>
      <c r="N18" s="2">
        <v>151731</v>
      </c>
    </row>
    <row r="19" spans="6:14">
      <c r="F19" s="3" t="s">
        <v>176</v>
      </c>
      <c r="G19" s="2">
        <v>124.5</v>
      </c>
      <c r="H19" s="2"/>
      <c r="I19" s="2"/>
      <c r="J19" s="2"/>
      <c r="K19" s="2"/>
      <c r="L19" s="2"/>
      <c r="M19" s="2"/>
      <c r="N19" s="2"/>
    </row>
    <row r="20" spans="6:14">
      <c r="F20" s="3" t="s">
        <v>177</v>
      </c>
      <c r="G20" s="1">
        <v>9.8000000000000007</v>
      </c>
      <c r="H20" s="2">
        <v>2.27</v>
      </c>
      <c r="I20" s="2">
        <v>12.6</v>
      </c>
      <c r="J20" s="2">
        <v>9.61</v>
      </c>
      <c r="K20" s="2">
        <v>5.31</v>
      </c>
      <c r="L20" s="2">
        <v>1.21</v>
      </c>
      <c r="M20" s="2">
        <v>2.31</v>
      </c>
      <c r="N20" s="6">
        <v>1.2</v>
      </c>
    </row>
    <row r="21" spans="6:14">
      <c r="F21" s="3" t="s">
        <v>178</v>
      </c>
      <c r="G21" s="2">
        <v>3.8</v>
      </c>
      <c r="H21" s="2">
        <v>3.71</v>
      </c>
      <c r="I21" s="2">
        <v>3.71</v>
      </c>
      <c r="J21" s="2">
        <v>5.34</v>
      </c>
      <c r="K21" s="2">
        <v>5.34</v>
      </c>
      <c r="L21" s="2">
        <v>5.34</v>
      </c>
      <c r="M21" s="2">
        <v>4.6399999999999997</v>
      </c>
      <c r="N21" s="2">
        <v>4.6399999999999997</v>
      </c>
    </row>
    <row r="22" spans="6:14">
      <c r="F22" s="3" t="s">
        <v>179</v>
      </c>
      <c r="G22" s="2">
        <v>4011</v>
      </c>
      <c r="H22" s="2">
        <v>627</v>
      </c>
      <c r="I22" s="2">
        <v>933</v>
      </c>
      <c r="J22" s="2">
        <v>386</v>
      </c>
      <c r="K22" s="2">
        <v>521</v>
      </c>
      <c r="L22" s="2">
        <v>471</v>
      </c>
      <c r="M22" s="2">
        <v>415</v>
      </c>
      <c r="N22" s="2">
        <v>658</v>
      </c>
    </row>
    <row r="23" spans="6:14">
      <c r="F23" s="3" t="s">
        <v>180</v>
      </c>
      <c r="G23" s="2">
        <v>2520</v>
      </c>
      <c r="H23" s="5">
        <v>445</v>
      </c>
      <c r="I23" s="5">
        <v>320</v>
      </c>
      <c r="J23" s="5">
        <v>276</v>
      </c>
      <c r="K23" s="5">
        <v>381</v>
      </c>
      <c r="L23" s="5">
        <v>253</v>
      </c>
      <c r="M23" s="5">
        <v>329</v>
      </c>
      <c r="N23" s="5">
        <v>516</v>
      </c>
    </row>
    <row r="24" spans="6:14">
      <c r="F24" s="3" t="s">
        <v>181</v>
      </c>
      <c r="G24" s="2">
        <v>1491</v>
      </c>
      <c r="H24" s="2">
        <v>182</v>
      </c>
      <c r="I24" s="2">
        <v>613</v>
      </c>
      <c r="J24" s="2">
        <v>110</v>
      </c>
      <c r="K24" s="2">
        <v>140</v>
      </c>
      <c r="L24" s="2">
        <v>218</v>
      </c>
      <c r="M24" s="2">
        <v>86</v>
      </c>
      <c r="N24" s="2">
        <v>142</v>
      </c>
    </row>
    <row r="25" spans="6:14">
      <c r="F25" s="3" t="s">
        <v>182</v>
      </c>
      <c r="G25" s="2">
        <v>1.64</v>
      </c>
      <c r="H25" s="6">
        <v>0.38</v>
      </c>
      <c r="I25" s="6">
        <v>0.14000000000000001</v>
      </c>
      <c r="J25" s="6">
        <v>0.1</v>
      </c>
      <c r="K25" s="2">
        <v>0.24</v>
      </c>
      <c r="L25" s="2">
        <v>0.13</v>
      </c>
      <c r="M25" s="2">
        <v>0.31</v>
      </c>
      <c r="N25" s="2">
        <v>0.34</v>
      </c>
    </row>
    <row r="26" spans="6:14">
      <c r="F26" s="3" t="s">
        <v>183</v>
      </c>
      <c r="G26" s="2">
        <v>89.49</v>
      </c>
      <c r="H26" s="2"/>
      <c r="I26" s="2"/>
      <c r="J26" s="2"/>
      <c r="K26" s="2"/>
      <c r="L26" s="2"/>
      <c r="M26" s="2"/>
      <c r="N26" s="2"/>
    </row>
    <row r="27" spans="6:14">
      <c r="F27" s="3" t="s">
        <v>184</v>
      </c>
      <c r="G27" s="2">
        <v>90.42</v>
      </c>
      <c r="H27" s="2"/>
      <c r="I27" s="2"/>
      <c r="J27" s="2"/>
      <c r="K27" s="2"/>
      <c r="L27" s="2"/>
      <c r="M27" s="2"/>
      <c r="N27" s="2"/>
    </row>
    <row r="28" spans="6:14">
      <c r="F28" s="3" t="s">
        <v>185</v>
      </c>
      <c r="G28" s="2">
        <v>87.52</v>
      </c>
      <c r="H28" s="2"/>
      <c r="I28" s="2"/>
      <c r="J28" s="2"/>
      <c r="K28" s="2"/>
      <c r="L28" s="2"/>
      <c r="M28" s="2"/>
      <c r="N28" s="2"/>
    </row>
    <row r="29" spans="6:14">
      <c r="F29" s="3" t="s">
        <v>186</v>
      </c>
      <c r="G29" s="2">
        <v>2.7</v>
      </c>
      <c r="H29" s="2"/>
      <c r="I29" s="2"/>
      <c r="J29" s="2"/>
      <c r="K29" s="2"/>
      <c r="L29" s="2"/>
      <c r="M29" s="2"/>
      <c r="N29" s="2"/>
    </row>
    <row r="32" spans="6:14" ht="61">
      <c r="F32" s="65" t="s">
        <v>234</v>
      </c>
    </row>
    <row r="33" spans="6:6">
      <c r="F33" s="66" t="s">
        <v>235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D13"/>
  <sheetViews>
    <sheetView workbookViewId="0"/>
  </sheetViews>
  <sheetFormatPr defaultColWidth="14.5" defaultRowHeight="15.75" customHeight="1"/>
  <cols>
    <col min="1" max="2" width="14.5" style="8"/>
    <col min="3" max="3" width="24.1796875" style="8" customWidth="1"/>
    <col min="4" max="4" width="30.6796875" style="8" customWidth="1"/>
    <col min="5" max="16384" width="14.5" style="8"/>
  </cols>
  <sheetData>
    <row r="1" spans="1:4" ht="15.75" customHeight="1">
      <c r="A1" s="45" t="s">
        <v>230</v>
      </c>
    </row>
    <row r="3" spans="1:4" ht="65" customHeight="1">
      <c r="A3" s="78" t="s">
        <v>231</v>
      </c>
      <c r="B3" s="85"/>
      <c r="C3" s="85"/>
      <c r="D3" s="85"/>
    </row>
    <row r="4" spans="1:4" ht="20" customHeight="1">
      <c r="A4" s="60"/>
      <c r="B4" s="64"/>
      <c r="C4" s="64"/>
      <c r="D4" s="64"/>
    </row>
    <row r="5" spans="1:4" ht="20" customHeight="1">
      <c r="A5" s="84" t="s">
        <v>232</v>
      </c>
      <c r="B5" s="84"/>
      <c r="C5" s="84"/>
      <c r="D5" s="84"/>
    </row>
    <row r="7" spans="1:4" ht="15.75" customHeight="1">
      <c r="A7" s="53" t="s">
        <v>137</v>
      </c>
      <c r="B7" s="53" t="s">
        <v>138</v>
      </c>
      <c r="C7" s="53" t="s">
        <v>139</v>
      </c>
      <c r="D7" s="53" t="s">
        <v>140</v>
      </c>
    </row>
    <row r="8" spans="1:4" ht="15.75" customHeight="1">
      <c r="A8" s="54" t="s">
        <v>141</v>
      </c>
      <c r="B8" s="54" t="s">
        <v>142</v>
      </c>
      <c r="C8" s="54" t="s">
        <v>143</v>
      </c>
      <c r="D8" s="55" t="s">
        <v>144</v>
      </c>
    </row>
    <row r="9" spans="1:4" ht="15.75" customHeight="1">
      <c r="A9" s="54" t="s">
        <v>145</v>
      </c>
      <c r="B9" s="54" t="s">
        <v>146</v>
      </c>
      <c r="C9" s="54" t="s">
        <v>147</v>
      </c>
      <c r="D9" s="55" t="s">
        <v>148</v>
      </c>
    </row>
    <row r="10" spans="1:4" ht="15.75" customHeight="1">
      <c r="A10" s="54" t="s">
        <v>149</v>
      </c>
      <c r="B10" s="54" t="s">
        <v>150</v>
      </c>
      <c r="C10" s="55" t="s">
        <v>151</v>
      </c>
      <c r="D10" s="55" t="s">
        <v>152</v>
      </c>
    </row>
    <row r="12" spans="1:4" ht="60" customHeight="1">
      <c r="A12" s="67" t="s">
        <v>233</v>
      </c>
      <c r="B12" s="85"/>
      <c r="C12" s="85"/>
      <c r="D12" s="85"/>
    </row>
    <row r="13" spans="1:4" ht="15.75" customHeight="1">
      <c r="A13" s="43"/>
    </row>
  </sheetData>
  <mergeCells count="3">
    <mergeCell ref="A3:D3"/>
    <mergeCell ref="A12:D12"/>
    <mergeCell ref="A5:D5"/>
  </mergeCells>
  <hyperlinks>
    <hyperlink ref="A5:D5" r:id="rId1" display="The data below  were obtained from a 2019 Venture Beat article." xr:uid="{1CB3DEEA-22B2-5B40-B811-53E862DBD8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38"/>
  <sheetViews>
    <sheetView workbookViewId="0">
      <selection sqref="A1:F1"/>
    </sheetView>
  </sheetViews>
  <sheetFormatPr defaultColWidth="14.5" defaultRowHeight="15.75" customHeight="1"/>
  <cols>
    <col min="1" max="1" width="5.5" style="8" customWidth="1"/>
    <col min="2" max="2" width="18.5" style="8" customWidth="1"/>
    <col min="3" max="6" width="18" style="8" customWidth="1"/>
    <col min="7" max="7" width="23.31640625" style="8" customWidth="1"/>
    <col min="8" max="16384" width="14.5" style="8"/>
  </cols>
  <sheetData>
    <row r="1" spans="1:24" ht="15.5">
      <c r="A1" s="71" t="s">
        <v>221</v>
      </c>
      <c r="B1" s="68"/>
      <c r="C1" s="68"/>
      <c r="D1" s="68"/>
      <c r="E1" s="68"/>
      <c r="F1" s="68"/>
    </row>
    <row r="2" spans="1:24" ht="42" customHeight="1">
      <c r="A2" s="72" t="s">
        <v>214</v>
      </c>
      <c r="B2" s="68"/>
      <c r="C2" s="68"/>
      <c r="D2" s="68"/>
      <c r="E2" s="68"/>
      <c r="F2" s="68"/>
    </row>
    <row r="3" spans="1:24" ht="42" customHeight="1">
      <c r="A3" s="74" t="s">
        <v>191</v>
      </c>
      <c r="B3" s="68"/>
      <c r="C3" s="68"/>
      <c r="D3" s="68"/>
      <c r="E3" s="68"/>
      <c r="F3" s="68"/>
    </row>
    <row r="4" spans="1:24" ht="42" customHeight="1">
      <c r="A4" s="71" t="s">
        <v>192</v>
      </c>
      <c r="B4" s="68"/>
      <c r="C4" s="68"/>
      <c r="D4" s="68"/>
      <c r="E4" s="68"/>
      <c r="F4" s="68"/>
    </row>
    <row r="5" spans="1:24" ht="15.5">
      <c r="A5" s="15"/>
      <c r="B5" s="15"/>
      <c r="C5" s="15"/>
      <c r="D5" s="15"/>
      <c r="E5" s="15"/>
      <c r="F5" s="15"/>
    </row>
    <row r="6" spans="1:24" ht="46.5">
      <c r="A6" s="16" t="s">
        <v>7</v>
      </c>
      <c r="B6" s="16" t="s">
        <v>18</v>
      </c>
      <c r="C6" s="16" t="s">
        <v>2</v>
      </c>
      <c r="D6" s="16" t="s">
        <v>19</v>
      </c>
      <c r="E6" s="16" t="s">
        <v>20</v>
      </c>
      <c r="F6" s="16" t="s">
        <v>21</v>
      </c>
      <c r="G6" s="9"/>
      <c r="H6" s="9"/>
      <c r="I6" s="9"/>
      <c r="J6" s="9"/>
      <c r="K6" s="9"/>
      <c r="L6" s="9"/>
      <c r="M6" s="9"/>
      <c r="N6" s="9"/>
      <c r="O6" s="9"/>
      <c r="P6" s="9"/>
      <c r="Q6" s="9"/>
      <c r="R6" s="9"/>
      <c r="S6" s="9"/>
      <c r="T6" s="9"/>
      <c r="U6" s="9"/>
      <c r="V6" s="9"/>
      <c r="W6" s="9"/>
      <c r="X6" s="9"/>
    </row>
    <row r="7" spans="1:24" ht="15.25">
      <c r="A7" s="75">
        <v>2020</v>
      </c>
      <c r="B7" s="17" t="s">
        <v>22</v>
      </c>
      <c r="C7" s="18">
        <v>313.34782610000002</v>
      </c>
      <c r="D7" s="17">
        <v>100</v>
      </c>
      <c r="E7" s="17">
        <v>40.880000000000003</v>
      </c>
      <c r="F7" s="19">
        <v>45</v>
      </c>
    </row>
    <row r="8" spans="1:24" ht="15.25">
      <c r="A8" s="76"/>
      <c r="B8" s="12" t="s">
        <v>23</v>
      </c>
      <c r="C8" s="20">
        <v>787.53490910000005</v>
      </c>
      <c r="D8" s="12">
        <v>200</v>
      </c>
      <c r="E8" s="12">
        <v>105.36</v>
      </c>
      <c r="F8" s="21">
        <v>65</v>
      </c>
    </row>
    <row r="9" spans="1:24" ht="15.25">
      <c r="A9" s="76"/>
      <c r="B9" s="12" t="s">
        <v>24</v>
      </c>
      <c r="C9" s="20">
        <v>974.53333329999998</v>
      </c>
      <c r="D9" s="12">
        <v>250</v>
      </c>
      <c r="E9" s="12">
        <v>73.73</v>
      </c>
      <c r="F9" s="21">
        <v>57.99</v>
      </c>
    </row>
    <row r="10" spans="1:24" ht="15.25">
      <c r="A10" s="76"/>
      <c r="B10" s="12" t="s">
        <v>25</v>
      </c>
      <c r="C10" s="20">
        <v>337.76190480000002</v>
      </c>
      <c r="D10" s="12">
        <v>100</v>
      </c>
      <c r="E10" s="12">
        <v>55.23</v>
      </c>
      <c r="F10" s="21">
        <v>50</v>
      </c>
    </row>
    <row r="11" spans="1:24" ht="15.25">
      <c r="A11" s="76"/>
      <c r="B11" s="12" t="s">
        <v>26</v>
      </c>
      <c r="C11" s="20">
        <v>858.18181819999995</v>
      </c>
      <c r="D11" s="12">
        <v>225</v>
      </c>
      <c r="E11" s="12">
        <v>88.99</v>
      </c>
      <c r="F11" s="21">
        <v>60</v>
      </c>
    </row>
    <row r="12" spans="1:24" ht="15.25">
      <c r="A12" s="76"/>
      <c r="B12" s="12" t="s">
        <v>27</v>
      </c>
      <c r="C12" s="20">
        <v>279.01488890000002</v>
      </c>
      <c r="D12" s="12">
        <v>125</v>
      </c>
      <c r="E12" s="12">
        <v>71.150000000000006</v>
      </c>
      <c r="F12" s="21">
        <v>50</v>
      </c>
    </row>
    <row r="13" spans="1:24" ht="15.25">
      <c r="A13" s="76"/>
      <c r="B13" s="12" t="s">
        <v>28</v>
      </c>
      <c r="C13" s="20">
        <v>298.87878790000002</v>
      </c>
      <c r="D13" s="12">
        <v>100</v>
      </c>
      <c r="E13" s="12">
        <v>67.069999999999993</v>
      </c>
      <c r="F13" s="21">
        <v>54.95</v>
      </c>
    </row>
    <row r="14" spans="1:24" ht="15.25">
      <c r="A14" s="76"/>
      <c r="B14" s="12" t="s">
        <v>29</v>
      </c>
      <c r="C14" s="20">
        <v>1096.3846149999999</v>
      </c>
      <c r="D14" s="12">
        <v>300</v>
      </c>
      <c r="E14" s="12">
        <v>80.14</v>
      </c>
      <c r="F14" s="21">
        <v>56.45</v>
      </c>
    </row>
    <row r="15" spans="1:24" ht="15.25">
      <c r="A15" s="76"/>
      <c r="B15" s="12" t="s">
        <v>30</v>
      </c>
      <c r="C15" s="20">
        <v>103.83333330000001</v>
      </c>
      <c r="D15" s="12">
        <v>42</v>
      </c>
      <c r="E15" s="12">
        <v>39.479999999999997</v>
      </c>
      <c r="F15" s="21">
        <v>34.99</v>
      </c>
    </row>
    <row r="16" spans="1:24" ht="15.25">
      <c r="A16" s="76"/>
      <c r="B16" s="12" t="s">
        <v>31</v>
      </c>
      <c r="C16" s="20">
        <v>248</v>
      </c>
      <c r="D16" s="12">
        <v>72.5</v>
      </c>
      <c r="E16" s="12">
        <v>49.83</v>
      </c>
      <c r="F16" s="21">
        <v>47.5</v>
      </c>
    </row>
    <row r="17" spans="1:6" ht="15.25">
      <c r="A17" s="76"/>
      <c r="B17" s="12" t="s">
        <v>32</v>
      </c>
      <c r="C17" s="20">
        <v>305.47619049999997</v>
      </c>
      <c r="D17" s="12">
        <v>200</v>
      </c>
      <c r="E17" s="12">
        <v>64.94</v>
      </c>
      <c r="F17" s="21">
        <v>54.99</v>
      </c>
    </row>
    <row r="18" spans="1:6" ht="15.25">
      <c r="A18" s="76"/>
      <c r="B18" s="12" t="s">
        <v>33</v>
      </c>
      <c r="C18" s="20">
        <v>370.26829270000002</v>
      </c>
      <c r="D18" s="12">
        <v>100</v>
      </c>
      <c r="E18" s="12">
        <v>60.54</v>
      </c>
      <c r="F18" s="21">
        <v>49.95</v>
      </c>
    </row>
    <row r="19" spans="1:6" ht="15.25">
      <c r="A19" s="76"/>
      <c r="B19" s="12" t="s">
        <v>34</v>
      </c>
      <c r="C19" s="20">
        <v>423.91666670000001</v>
      </c>
      <c r="D19" s="12">
        <v>200</v>
      </c>
      <c r="E19" s="12">
        <v>67.61</v>
      </c>
      <c r="F19" s="21">
        <v>54.99</v>
      </c>
    </row>
    <row r="20" spans="1:6" ht="15.25">
      <c r="A20" s="76"/>
      <c r="B20" s="12" t="s">
        <v>35</v>
      </c>
      <c r="C20" s="20">
        <v>482.94117649999998</v>
      </c>
      <c r="D20" s="12">
        <v>300</v>
      </c>
      <c r="E20" s="12">
        <v>70.72</v>
      </c>
      <c r="F20" s="21">
        <v>57.49</v>
      </c>
    </row>
    <row r="21" spans="1:6" ht="15.25">
      <c r="A21" s="77"/>
      <c r="B21" s="22" t="s">
        <v>36</v>
      </c>
      <c r="C21" s="23">
        <v>348.125</v>
      </c>
      <c r="D21" s="22">
        <v>150</v>
      </c>
      <c r="E21" s="22">
        <v>68.099999999999994</v>
      </c>
      <c r="F21" s="24">
        <v>62.47</v>
      </c>
    </row>
    <row r="22" spans="1:6" ht="15.25">
      <c r="A22" s="75">
        <v>2012</v>
      </c>
      <c r="B22" s="25" t="s">
        <v>37</v>
      </c>
      <c r="C22" s="17">
        <v>129</v>
      </c>
      <c r="D22" s="17">
        <v>25</v>
      </c>
      <c r="E22" s="17">
        <v>100.22</v>
      </c>
      <c r="F22" s="19">
        <v>54.95</v>
      </c>
    </row>
    <row r="23" spans="1:6" ht="15.25">
      <c r="A23" s="76"/>
      <c r="B23" s="13" t="s">
        <v>24</v>
      </c>
      <c r="C23" s="12">
        <v>119</v>
      </c>
      <c r="D23" s="12">
        <v>30</v>
      </c>
      <c r="E23" s="12">
        <v>98.44</v>
      </c>
      <c r="F23" s="21">
        <v>62.47</v>
      </c>
    </row>
    <row r="24" spans="1:6" ht="15.25">
      <c r="A24" s="76"/>
      <c r="B24" s="13" t="s">
        <v>29</v>
      </c>
      <c r="C24" s="12">
        <v>41</v>
      </c>
      <c r="D24" s="12">
        <v>33</v>
      </c>
      <c r="E24" s="12">
        <v>78.47</v>
      </c>
      <c r="F24" s="21">
        <v>58.99</v>
      </c>
    </row>
    <row r="25" spans="1:6" ht="15.25">
      <c r="A25" s="76"/>
      <c r="B25" s="13" t="s">
        <v>31</v>
      </c>
      <c r="C25" s="12">
        <v>19</v>
      </c>
      <c r="D25" s="12">
        <v>16.5</v>
      </c>
      <c r="E25" s="12">
        <v>54.194000000000003</v>
      </c>
      <c r="F25" s="21">
        <v>51.494999999999997</v>
      </c>
    </row>
    <row r="26" spans="1:6" ht="15.25">
      <c r="A26" s="76"/>
      <c r="B26" s="13" t="s">
        <v>32</v>
      </c>
      <c r="C26" s="12">
        <v>37</v>
      </c>
      <c r="D26" s="12">
        <v>20</v>
      </c>
      <c r="E26" s="12">
        <v>73.180000000000007</v>
      </c>
      <c r="F26" s="21">
        <v>58.98</v>
      </c>
    </row>
    <row r="27" spans="1:6" ht="15.25">
      <c r="A27" s="77"/>
      <c r="B27" s="26" t="s">
        <v>33</v>
      </c>
      <c r="C27" s="22">
        <v>41</v>
      </c>
      <c r="D27" s="22">
        <v>30</v>
      </c>
      <c r="E27" s="22">
        <v>63.07</v>
      </c>
      <c r="F27" s="24">
        <v>62.95</v>
      </c>
    </row>
    <row r="29" spans="1:6" ht="50" customHeight="1">
      <c r="A29" s="67" t="s">
        <v>38</v>
      </c>
      <c r="B29" s="68"/>
      <c r="C29" s="68"/>
      <c r="D29" s="68"/>
      <c r="E29" s="68"/>
      <c r="F29" s="68"/>
    </row>
    <row r="30" spans="1:6" ht="50" customHeight="1">
      <c r="A30" s="73" t="s">
        <v>39</v>
      </c>
      <c r="B30" s="68"/>
      <c r="C30" s="68"/>
      <c r="D30" s="68"/>
      <c r="E30" s="68"/>
      <c r="F30" s="68"/>
    </row>
    <row r="31" spans="1:6" ht="60" customHeight="1">
      <c r="A31" s="67" t="s">
        <v>40</v>
      </c>
      <c r="B31" s="68"/>
      <c r="C31" s="68"/>
      <c r="D31" s="68"/>
      <c r="E31" s="68"/>
      <c r="F31" s="68"/>
    </row>
    <row r="32" spans="1:6" ht="15.5">
      <c r="A32" s="27"/>
      <c r="B32" s="28">
        <v>2014</v>
      </c>
      <c r="C32" s="29"/>
    </row>
    <row r="33" spans="1:24" ht="31">
      <c r="A33" s="30"/>
      <c r="B33" s="10" t="s">
        <v>41</v>
      </c>
      <c r="C33" s="10" t="s">
        <v>42</v>
      </c>
      <c r="D33" s="30"/>
      <c r="E33" s="30"/>
      <c r="F33" s="30"/>
      <c r="G33" s="30"/>
      <c r="H33" s="30"/>
      <c r="I33" s="30"/>
      <c r="J33" s="30"/>
      <c r="K33" s="30"/>
      <c r="L33" s="30"/>
      <c r="M33" s="30"/>
      <c r="N33" s="30"/>
      <c r="O33" s="30"/>
      <c r="P33" s="30"/>
      <c r="Q33" s="30"/>
      <c r="R33" s="30"/>
      <c r="S33" s="30"/>
      <c r="T33" s="30"/>
      <c r="U33" s="30"/>
      <c r="V33" s="30"/>
      <c r="W33" s="30"/>
      <c r="X33" s="30"/>
    </row>
    <row r="34" spans="1:24" ht="15.25">
      <c r="A34" s="29"/>
      <c r="B34" s="13" t="s">
        <v>43</v>
      </c>
      <c r="C34" s="31">
        <v>34.99</v>
      </c>
    </row>
    <row r="35" spans="1:24" ht="15.25">
      <c r="A35" s="29"/>
      <c r="B35" s="13" t="s">
        <v>44</v>
      </c>
      <c r="C35" s="31">
        <v>41.95</v>
      </c>
    </row>
    <row r="36" spans="1:24" ht="15.25">
      <c r="A36" s="29"/>
      <c r="B36" s="13" t="s">
        <v>45</v>
      </c>
      <c r="C36" s="31">
        <v>54.97</v>
      </c>
    </row>
    <row r="37" spans="1:24" ht="15.25">
      <c r="A37" s="29"/>
      <c r="B37" s="13" t="s">
        <v>46</v>
      </c>
      <c r="C37" s="31">
        <v>59.95</v>
      </c>
    </row>
    <row r="38" spans="1:24" ht="15.25">
      <c r="A38" s="29"/>
      <c r="B38" s="13" t="s">
        <v>47</v>
      </c>
      <c r="C38" s="31">
        <v>69.989999999999995</v>
      </c>
    </row>
  </sheetData>
  <mergeCells count="9">
    <mergeCell ref="A30:F30"/>
    <mergeCell ref="A31:F31"/>
    <mergeCell ref="A1:F1"/>
    <mergeCell ref="A2:F2"/>
    <mergeCell ref="A3:F3"/>
    <mergeCell ref="A4:F4"/>
    <mergeCell ref="A7:A21"/>
    <mergeCell ref="A22:A27"/>
    <mergeCell ref="A29:F29"/>
  </mergeCells>
  <hyperlinks>
    <hyperlink ref="A2" r:id="rId1" display="The Open Techology Institutes &quot;Cost of Connectivity&quot; Report (available from 2020, 2014, 2012) provides data on average residential internet plan prices for a subset of cities in the United States." xr:uid="{00000000-0004-0000-0100-000000000000}"/>
    <hyperlink ref="A3"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53"/>
  <sheetViews>
    <sheetView workbookViewId="0"/>
  </sheetViews>
  <sheetFormatPr defaultColWidth="14.5" defaultRowHeight="15.75" customHeight="1"/>
  <cols>
    <col min="1" max="1" width="10.81640625" style="8" customWidth="1"/>
    <col min="2" max="5" width="14.5" style="8" customWidth="1"/>
    <col min="6" max="6" width="8.5" style="8" customWidth="1"/>
    <col min="7" max="7" width="14.6796875" style="8" customWidth="1"/>
    <col min="8" max="8" width="9.6796875" style="8" customWidth="1"/>
    <col min="9" max="9" width="18.81640625" style="8" customWidth="1"/>
    <col min="10" max="16384" width="14.5" style="8"/>
  </cols>
  <sheetData>
    <row r="1" spans="1:11" s="58" customFormat="1" ht="20.5">
      <c r="A1" s="59" t="s">
        <v>222</v>
      </c>
    </row>
    <row r="3" spans="1:11" ht="15.75" customHeight="1">
      <c r="A3" s="71" t="s">
        <v>223</v>
      </c>
      <c r="B3" s="68"/>
      <c r="C3" s="68"/>
      <c r="D3" s="68"/>
      <c r="E3" s="68"/>
      <c r="G3" s="71" t="s">
        <v>224</v>
      </c>
      <c r="H3" s="68"/>
      <c r="I3" s="68"/>
      <c r="J3" s="68"/>
      <c r="K3" s="68"/>
    </row>
    <row r="4" spans="1:11" ht="40" customHeight="1">
      <c r="A4" s="72" t="s">
        <v>211</v>
      </c>
      <c r="B4" s="78"/>
      <c r="C4" s="78"/>
      <c r="D4" s="78"/>
      <c r="E4" s="78"/>
      <c r="F4" s="60"/>
      <c r="G4" s="67" t="s">
        <v>48</v>
      </c>
      <c r="H4" s="78"/>
      <c r="I4" s="78"/>
      <c r="J4" s="78"/>
      <c r="K4" s="78"/>
    </row>
    <row r="5" spans="1:11" ht="40" customHeight="1">
      <c r="A5" s="67"/>
      <c r="B5" s="78"/>
      <c r="C5" s="78"/>
      <c r="D5" s="78"/>
      <c r="E5" s="78"/>
      <c r="F5" s="60"/>
      <c r="G5" s="79" t="s">
        <v>49</v>
      </c>
      <c r="H5" s="78"/>
      <c r="I5" s="78"/>
      <c r="J5" s="78"/>
      <c r="K5" s="78"/>
    </row>
    <row r="6" spans="1:11" ht="40" customHeight="1">
      <c r="A6" s="67" t="s">
        <v>193</v>
      </c>
      <c r="B6" s="78"/>
      <c r="C6" s="78"/>
      <c r="D6" s="78"/>
      <c r="E6" s="78"/>
      <c r="F6" s="60"/>
      <c r="G6" s="67" t="s">
        <v>194</v>
      </c>
      <c r="H6" s="78"/>
      <c r="I6" s="78"/>
      <c r="J6" s="78"/>
      <c r="K6" s="78"/>
    </row>
    <row r="7" spans="1:11" ht="40" customHeight="1">
      <c r="A7" s="60"/>
      <c r="B7" s="60"/>
      <c r="C7" s="60"/>
      <c r="D7" s="60"/>
      <c r="E7" s="60"/>
      <c r="F7" s="60"/>
      <c r="G7" s="67" t="s">
        <v>50</v>
      </c>
      <c r="H7" s="78"/>
      <c r="I7" s="78"/>
      <c r="J7" s="78"/>
      <c r="K7" s="78"/>
    </row>
    <row r="8" spans="1:11" ht="15.75" customHeight="1">
      <c r="A8" s="80" t="s">
        <v>51</v>
      </c>
      <c r="B8" s="81"/>
      <c r="C8" s="81"/>
      <c r="D8" s="81"/>
      <c r="E8" s="70"/>
    </row>
    <row r="9" spans="1:11" ht="15.75" customHeight="1">
      <c r="A9" s="82" t="s">
        <v>52</v>
      </c>
      <c r="B9" s="81"/>
      <c r="C9" s="81"/>
      <c r="D9" s="81"/>
      <c r="E9" s="70"/>
      <c r="G9" s="11" t="s">
        <v>53</v>
      </c>
      <c r="H9" s="11" t="s">
        <v>7</v>
      </c>
      <c r="I9" s="11" t="s">
        <v>54</v>
      </c>
    </row>
    <row r="10" spans="1:11" ht="15.75" customHeight="1">
      <c r="A10" s="10" t="s">
        <v>55</v>
      </c>
      <c r="B10" s="10" t="s">
        <v>54</v>
      </c>
      <c r="C10" s="10" t="s">
        <v>56</v>
      </c>
      <c r="D10" s="10" t="s">
        <v>55</v>
      </c>
      <c r="E10" s="10" t="s">
        <v>57</v>
      </c>
      <c r="G10" s="86" t="s">
        <v>58</v>
      </c>
      <c r="H10" s="13">
        <v>2015</v>
      </c>
      <c r="I10" s="13">
        <v>37.31</v>
      </c>
    </row>
    <row r="11" spans="1:11" ht="15.75" customHeight="1">
      <c r="A11" s="32">
        <v>41640</v>
      </c>
      <c r="B11" s="13">
        <v>36</v>
      </c>
      <c r="C11" s="13" t="s">
        <v>59</v>
      </c>
      <c r="D11" s="32">
        <v>41640</v>
      </c>
      <c r="E11" s="13">
        <v>26</v>
      </c>
      <c r="G11" s="87"/>
      <c r="H11" s="13">
        <v>2016</v>
      </c>
      <c r="I11" s="13">
        <v>28.21</v>
      </c>
    </row>
    <row r="12" spans="1:11" ht="15.75" customHeight="1">
      <c r="A12" s="32">
        <v>41730</v>
      </c>
      <c r="B12" s="13">
        <v>34</v>
      </c>
      <c r="C12" s="12"/>
      <c r="D12" s="32">
        <v>41730</v>
      </c>
      <c r="E12" s="13">
        <v>24</v>
      </c>
      <c r="G12" s="87"/>
      <c r="H12" s="13">
        <v>2017</v>
      </c>
      <c r="I12" s="13">
        <v>29.24</v>
      </c>
    </row>
    <row r="13" spans="1:11" ht="15.75" customHeight="1">
      <c r="A13" s="32">
        <v>41821</v>
      </c>
      <c r="B13" s="13">
        <v>33</v>
      </c>
      <c r="C13" s="12"/>
      <c r="D13" s="32">
        <v>41821</v>
      </c>
      <c r="E13" s="13">
        <v>22</v>
      </c>
      <c r="G13" s="87"/>
      <c r="H13" s="13">
        <v>2018</v>
      </c>
      <c r="I13" s="13">
        <v>22.92</v>
      </c>
    </row>
    <row r="14" spans="1:11" ht="15.75" customHeight="1">
      <c r="A14" s="32">
        <v>41913</v>
      </c>
      <c r="B14" s="13">
        <v>34</v>
      </c>
      <c r="C14" s="12"/>
      <c r="D14" s="32">
        <v>41913</v>
      </c>
      <c r="E14" s="13">
        <v>24</v>
      </c>
      <c r="G14" s="88"/>
      <c r="H14" s="13">
        <v>2019</v>
      </c>
      <c r="I14" s="13">
        <v>20.190000000000001</v>
      </c>
    </row>
    <row r="15" spans="1:11" ht="15.75" customHeight="1">
      <c r="A15" s="32">
        <v>42005</v>
      </c>
      <c r="B15" s="13">
        <v>29</v>
      </c>
      <c r="C15" s="12"/>
      <c r="D15" s="32">
        <v>42005</v>
      </c>
      <c r="E15" s="13">
        <v>20</v>
      </c>
      <c r="G15" s="86" t="s">
        <v>60</v>
      </c>
      <c r="H15" s="13">
        <v>2015</v>
      </c>
      <c r="I15" s="13">
        <v>23.87</v>
      </c>
    </row>
    <row r="16" spans="1:11" ht="15.75" customHeight="1">
      <c r="A16" s="32">
        <v>42095</v>
      </c>
      <c r="B16" s="13">
        <v>29</v>
      </c>
      <c r="C16" s="12"/>
      <c r="D16" s="32">
        <v>42095</v>
      </c>
      <c r="E16" s="13">
        <v>17</v>
      </c>
      <c r="G16" s="87"/>
      <c r="H16" s="13">
        <v>2016</v>
      </c>
      <c r="I16" s="13">
        <v>22.24</v>
      </c>
    </row>
    <row r="17" spans="1:11" ht="15.75" customHeight="1">
      <c r="A17" s="32">
        <v>42186</v>
      </c>
      <c r="B17" s="13">
        <v>30</v>
      </c>
      <c r="C17" s="12"/>
      <c r="D17" s="32">
        <v>42186</v>
      </c>
      <c r="E17" s="13">
        <v>18</v>
      </c>
      <c r="G17" s="87"/>
      <c r="H17" s="13">
        <v>2017</v>
      </c>
      <c r="I17" s="13">
        <v>20.27</v>
      </c>
    </row>
    <row r="18" spans="1:11" ht="15.75" customHeight="1">
      <c r="A18" s="32">
        <v>42278</v>
      </c>
      <c r="B18" s="13">
        <v>30</v>
      </c>
      <c r="C18" s="12"/>
      <c r="D18" s="32">
        <v>42278</v>
      </c>
      <c r="E18" s="13">
        <v>24</v>
      </c>
      <c r="G18" s="87"/>
      <c r="H18" s="13">
        <v>2018</v>
      </c>
      <c r="I18" s="13">
        <v>15.97</v>
      </c>
    </row>
    <row r="19" spans="1:11" ht="15.75" customHeight="1">
      <c r="A19" s="32">
        <v>42370</v>
      </c>
      <c r="B19" s="13">
        <v>30</v>
      </c>
      <c r="C19" s="12"/>
      <c r="D19" s="32">
        <v>42370</v>
      </c>
      <c r="E19" s="13">
        <v>21</v>
      </c>
      <c r="G19" s="88"/>
      <c r="H19" s="13">
        <v>2019</v>
      </c>
      <c r="I19" s="13">
        <v>13.41</v>
      </c>
    </row>
    <row r="20" spans="1:11" ht="15.75" customHeight="1">
      <c r="A20" s="32">
        <v>42461</v>
      </c>
      <c r="B20" s="13">
        <v>29</v>
      </c>
      <c r="C20" s="12"/>
      <c r="D20" s="32">
        <v>42461</v>
      </c>
      <c r="E20" s="13">
        <v>18</v>
      </c>
      <c r="G20" s="86" t="s">
        <v>61</v>
      </c>
      <c r="H20" s="13">
        <v>2015</v>
      </c>
      <c r="I20" s="13">
        <v>19.53</v>
      </c>
    </row>
    <row r="21" spans="1:11" ht="15.75" customHeight="1">
      <c r="A21" s="32">
        <v>42552</v>
      </c>
      <c r="B21" s="13">
        <v>29</v>
      </c>
      <c r="C21" s="12"/>
      <c r="D21" s="32">
        <v>42552</v>
      </c>
      <c r="E21" s="13">
        <v>24</v>
      </c>
      <c r="G21" s="87"/>
      <c r="H21" s="13">
        <v>2016</v>
      </c>
      <c r="I21" s="13">
        <v>17.13</v>
      </c>
    </row>
    <row r="22" spans="1:11" ht="15.75" customHeight="1">
      <c r="A22" s="32">
        <v>42644</v>
      </c>
      <c r="B22" s="13">
        <v>33</v>
      </c>
      <c r="C22" s="12"/>
      <c r="D22" s="32">
        <v>42644</v>
      </c>
      <c r="E22" s="13">
        <v>25</v>
      </c>
      <c r="G22" s="87"/>
      <c r="H22" s="13">
        <v>2017</v>
      </c>
      <c r="I22" s="13">
        <v>15.78</v>
      </c>
    </row>
    <row r="23" spans="1:11" ht="15.75" customHeight="1">
      <c r="A23" s="32">
        <v>42736</v>
      </c>
      <c r="B23" s="13">
        <v>28</v>
      </c>
      <c r="C23" s="12"/>
      <c r="D23" s="32">
        <v>42736</v>
      </c>
      <c r="E23" s="13">
        <v>18</v>
      </c>
      <c r="G23" s="87"/>
      <c r="H23" s="13">
        <v>2018</v>
      </c>
      <c r="I23" s="13">
        <v>14.89</v>
      </c>
    </row>
    <row r="24" spans="1:11" ht="15.75" customHeight="1">
      <c r="A24" s="32">
        <v>42826</v>
      </c>
      <c r="B24" s="13">
        <v>28</v>
      </c>
      <c r="C24" s="12"/>
      <c r="D24" s="32">
        <v>42826</v>
      </c>
      <c r="E24" s="13">
        <v>21</v>
      </c>
      <c r="G24" s="88"/>
      <c r="H24" s="13">
        <v>2019</v>
      </c>
      <c r="I24" s="13">
        <v>12.14</v>
      </c>
    </row>
    <row r="25" spans="1:11" ht="15.75" customHeight="1">
      <c r="A25" s="32">
        <v>42917</v>
      </c>
      <c r="B25" s="13">
        <v>27</v>
      </c>
      <c r="C25" s="12"/>
      <c r="D25" s="32">
        <v>42917</v>
      </c>
      <c r="E25" s="13">
        <v>17</v>
      </c>
      <c r="G25" s="86" t="s">
        <v>62</v>
      </c>
      <c r="H25" s="13">
        <v>2015</v>
      </c>
      <c r="I25" s="13">
        <v>13.84</v>
      </c>
    </row>
    <row r="26" spans="1:11" ht="15.75" customHeight="1">
      <c r="A26" s="32">
        <v>43009</v>
      </c>
      <c r="B26" s="13">
        <v>30</v>
      </c>
      <c r="C26" s="12"/>
      <c r="D26" s="32">
        <v>43009</v>
      </c>
      <c r="E26" s="13">
        <v>17</v>
      </c>
      <c r="G26" s="87"/>
      <c r="H26" s="13">
        <v>2016</v>
      </c>
      <c r="I26" s="13">
        <v>13.74</v>
      </c>
    </row>
    <row r="27" spans="1:11" ht="15.75" customHeight="1">
      <c r="A27" s="32">
        <v>43101</v>
      </c>
      <c r="B27" s="13">
        <v>26</v>
      </c>
      <c r="C27" s="12"/>
      <c r="D27" s="32">
        <v>43101</v>
      </c>
      <c r="E27" s="13">
        <v>18</v>
      </c>
      <c r="G27" s="87"/>
      <c r="H27" s="13">
        <v>2017</v>
      </c>
      <c r="I27" s="13">
        <v>12.69</v>
      </c>
    </row>
    <row r="28" spans="1:11" ht="15.75" customHeight="1">
      <c r="A28" s="32">
        <v>43191</v>
      </c>
      <c r="B28" s="13">
        <v>28</v>
      </c>
      <c r="C28" s="12"/>
      <c r="D28" s="32">
        <v>43191</v>
      </c>
      <c r="E28" s="13">
        <v>18</v>
      </c>
      <c r="G28" s="87"/>
      <c r="H28" s="13">
        <v>2018</v>
      </c>
      <c r="I28" s="13">
        <v>9.84</v>
      </c>
    </row>
    <row r="29" spans="1:11" ht="15.75" customHeight="1">
      <c r="A29" s="32">
        <v>43282</v>
      </c>
      <c r="B29" s="13">
        <v>26</v>
      </c>
      <c r="C29" s="12"/>
      <c r="D29" s="32">
        <v>43282</v>
      </c>
      <c r="E29" s="13">
        <v>20</v>
      </c>
      <c r="G29" s="88"/>
      <c r="H29" s="13">
        <v>2019</v>
      </c>
      <c r="I29" s="13">
        <v>9.61</v>
      </c>
    </row>
    <row r="30" spans="1:11" ht="15.75" customHeight="1">
      <c r="A30" s="32">
        <v>43374</v>
      </c>
      <c r="B30" s="13">
        <v>26</v>
      </c>
      <c r="C30" s="12"/>
      <c r="D30" s="32">
        <v>43374</v>
      </c>
      <c r="E30" s="13">
        <v>20</v>
      </c>
      <c r="G30" s="83" t="s">
        <v>215</v>
      </c>
      <c r="H30" s="84"/>
      <c r="I30" s="84"/>
      <c r="J30" s="84"/>
      <c r="K30" s="84"/>
    </row>
    <row r="31" spans="1:11" ht="15.75" customHeight="1">
      <c r="A31" s="32">
        <v>43466</v>
      </c>
      <c r="B31" s="13">
        <v>26</v>
      </c>
      <c r="C31" s="12"/>
      <c r="D31" s="32">
        <v>43466</v>
      </c>
      <c r="E31" s="13">
        <v>20</v>
      </c>
      <c r="G31" s="84"/>
      <c r="H31" s="84"/>
      <c r="I31" s="84"/>
      <c r="J31" s="84"/>
      <c r="K31" s="84"/>
    </row>
    <row r="32" spans="1:11" ht="15.75" customHeight="1">
      <c r="A32" s="32">
        <v>43556</v>
      </c>
      <c r="B32" s="13">
        <v>28</v>
      </c>
      <c r="C32" s="12"/>
      <c r="D32" s="32">
        <v>43556</v>
      </c>
      <c r="E32" s="13">
        <v>24</v>
      </c>
      <c r="G32" s="84"/>
      <c r="H32" s="84"/>
      <c r="I32" s="84"/>
      <c r="J32" s="84"/>
      <c r="K32" s="84"/>
    </row>
    <row r="33" spans="1:11" ht="15.75" customHeight="1">
      <c r="A33" s="32">
        <v>43647</v>
      </c>
      <c r="B33" s="13">
        <v>28</v>
      </c>
      <c r="C33" s="12"/>
      <c r="D33" s="32">
        <v>43647</v>
      </c>
      <c r="E33" s="13">
        <v>22</v>
      </c>
    </row>
    <row r="34" spans="1:11" ht="15.75" customHeight="1">
      <c r="B34" s="33"/>
      <c r="G34" s="79" t="s">
        <v>195</v>
      </c>
      <c r="H34" s="78"/>
      <c r="I34" s="78"/>
      <c r="J34" s="78"/>
      <c r="K34" s="78"/>
    </row>
    <row r="35" spans="1:11" ht="15.75" customHeight="1">
      <c r="A35" s="34"/>
      <c r="B35" s="33"/>
      <c r="G35" s="85"/>
      <c r="H35" s="85"/>
      <c r="I35" s="85"/>
      <c r="J35" s="85"/>
      <c r="K35" s="85"/>
    </row>
    <row r="36" spans="1:11" ht="15.75" customHeight="1">
      <c r="B36" s="33"/>
      <c r="G36" s="85"/>
      <c r="H36" s="85"/>
      <c r="I36" s="85"/>
      <c r="J36" s="85"/>
      <c r="K36" s="85"/>
    </row>
    <row r="37" spans="1:11" ht="15.75" customHeight="1">
      <c r="B37" s="33"/>
    </row>
    <row r="38" spans="1:11" ht="15.75" customHeight="1">
      <c r="B38" s="33"/>
    </row>
    <row r="39" spans="1:11" ht="15.75" customHeight="1">
      <c r="B39" s="33"/>
    </row>
    <row r="40" spans="1:11" ht="15.75" customHeight="1">
      <c r="B40" s="33"/>
    </row>
    <row r="41" spans="1:11" ht="15.75" customHeight="1">
      <c r="B41" s="33"/>
    </row>
    <row r="42" spans="1:11" ht="15.25">
      <c r="B42" s="33"/>
    </row>
    <row r="43" spans="1:11" ht="15.25">
      <c r="B43" s="33"/>
    </row>
    <row r="44" spans="1:11" ht="15.25">
      <c r="B44" s="33"/>
    </row>
    <row r="45" spans="1:11" ht="15.25">
      <c r="B45" s="33"/>
    </row>
    <row r="46" spans="1:11" ht="15.25">
      <c r="B46" s="33"/>
    </row>
    <row r="47" spans="1:11" ht="15.25">
      <c r="B47" s="33"/>
    </row>
    <row r="48" spans="1:11" ht="15.25">
      <c r="B48" s="33"/>
    </row>
    <row r="49" spans="2:2" ht="15.25">
      <c r="B49" s="33"/>
    </row>
    <row r="50" spans="2:2" ht="15.25">
      <c r="B50" s="33"/>
    </row>
    <row r="51" spans="2:2" ht="15.25">
      <c r="B51" s="33"/>
    </row>
    <row r="52" spans="2:2" ht="15.25">
      <c r="B52" s="33"/>
    </row>
    <row r="53" spans="2:2" ht="15.25">
      <c r="B53" s="33"/>
    </row>
  </sheetData>
  <mergeCells count="17">
    <mergeCell ref="G34:K36"/>
    <mergeCell ref="G7:K7"/>
    <mergeCell ref="G10:G14"/>
    <mergeCell ref="G15:G19"/>
    <mergeCell ref="G20:G24"/>
    <mergeCell ref="G25:G29"/>
    <mergeCell ref="A8:E8"/>
    <mergeCell ref="A9:E9"/>
    <mergeCell ref="A6:E6"/>
    <mergeCell ref="G6:K6"/>
    <mergeCell ref="G30:K32"/>
    <mergeCell ref="A3:E3"/>
    <mergeCell ref="G3:K3"/>
    <mergeCell ref="A4:E4"/>
    <mergeCell ref="G4:K4"/>
    <mergeCell ref="A5:E5"/>
    <mergeCell ref="G5:K5"/>
  </mergeCells>
  <hyperlinks>
    <hyperlink ref="A4" r:id="rId1" display="The Ofcom 2020 report provides a rich dataset on bandwidth pricing in the UK. It is available here." xr:uid="{00000000-0004-0000-0200-000000000000}"/>
    <hyperlink ref="G30:K32" r:id="rId2" display="Prices for even 5G connections are only just starting to emerge. In the UK, these connections provide roughly 200 Mbps in bandwidth. See the data here." xr:uid="{2B96FCB6-990D-4F4E-B31A-586F192229F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O53"/>
  <sheetViews>
    <sheetView workbookViewId="0"/>
  </sheetViews>
  <sheetFormatPr defaultColWidth="14.5" defaultRowHeight="15.75" customHeight="1"/>
  <cols>
    <col min="1" max="1" width="42.5" style="8" customWidth="1"/>
    <col min="2" max="7" width="10.81640625" style="8" customWidth="1"/>
    <col min="8" max="8" width="5.1796875" style="8" customWidth="1"/>
    <col min="9" max="9" width="42.6796875" style="8" customWidth="1"/>
    <col min="10" max="13" width="10.81640625" style="8" customWidth="1"/>
    <col min="14" max="16384" width="14.5" style="8"/>
  </cols>
  <sheetData>
    <row r="1" spans="1:15" ht="20.5">
      <c r="A1" s="44" t="s">
        <v>210</v>
      </c>
    </row>
    <row r="2" spans="1:15" ht="20.5">
      <c r="A2" s="44"/>
    </row>
    <row r="3" spans="1:15" s="63" customFormat="1" ht="15.75" customHeight="1">
      <c r="A3" s="61" t="s">
        <v>216</v>
      </c>
      <c r="B3" s="62"/>
      <c r="C3" s="62"/>
      <c r="D3" s="62"/>
      <c r="E3" s="62"/>
      <c r="F3" s="62"/>
      <c r="G3" s="62"/>
      <c r="I3" s="90" t="s">
        <v>217</v>
      </c>
      <c r="J3" s="91"/>
      <c r="K3" s="91"/>
      <c r="L3" s="91"/>
      <c r="M3" s="91"/>
      <c r="N3" s="91"/>
      <c r="O3" s="91"/>
    </row>
    <row r="4" spans="1:15" ht="40" customHeight="1">
      <c r="A4" s="72" t="s">
        <v>196</v>
      </c>
      <c r="B4" s="68"/>
      <c r="C4" s="68"/>
      <c r="D4" s="68"/>
      <c r="E4" s="68"/>
      <c r="F4" s="68"/>
      <c r="G4" s="68"/>
      <c r="I4" s="67" t="s">
        <v>82</v>
      </c>
      <c r="J4" s="68"/>
      <c r="K4" s="68"/>
      <c r="L4" s="68"/>
      <c r="M4" s="68"/>
      <c r="N4" s="68"/>
      <c r="O4" s="68"/>
    </row>
    <row r="5" spans="1:15" ht="40" customHeight="1">
      <c r="A5" s="72" t="s">
        <v>197</v>
      </c>
      <c r="B5" s="68"/>
      <c r="C5" s="68"/>
      <c r="D5" s="68"/>
      <c r="E5" s="68"/>
      <c r="F5" s="68"/>
      <c r="G5" s="68"/>
      <c r="I5" s="72" t="s">
        <v>218</v>
      </c>
      <c r="J5" s="68"/>
      <c r="K5" s="68"/>
      <c r="L5" s="68"/>
      <c r="M5" s="68"/>
      <c r="N5" s="68"/>
      <c r="O5" s="68"/>
    </row>
    <row r="6" spans="1:15" ht="40" customHeight="1">
      <c r="A6" s="67" t="s">
        <v>63</v>
      </c>
      <c r="B6" s="68"/>
      <c r="C6" s="68"/>
      <c r="D6" s="68"/>
      <c r="E6" s="68"/>
      <c r="F6" s="68"/>
      <c r="G6" s="68"/>
      <c r="I6" s="92" t="s">
        <v>83</v>
      </c>
      <c r="J6" s="68"/>
      <c r="K6" s="68"/>
      <c r="L6" s="68"/>
      <c r="M6" s="68"/>
      <c r="N6" s="68"/>
      <c r="O6" s="68"/>
    </row>
    <row r="8" spans="1:15" ht="15.75" customHeight="1">
      <c r="A8" s="11" t="s">
        <v>64</v>
      </c>
      <c r="B8" s="89" t="s">
        <v>65</v>
      </c>
      <c r="C8" s="81"/>
      <c r="D8" s="81"/>
      <c r="E8" s="81"/>
      <c r="F8" s="81"/>
      <c r="G8" s="70"/>
      <c r="I8" s="11" t="s">
        <v>84</v>
      </c>
      <c r="J8" s="89" t="s">
        <v>85</v>
      </c>
      <c r="K8" s="81"/>
      <c r="L8" s="81"/>
      <c r="M8" s="70"/>
      <c r="N8" s="15"/>
      <c r="O8" s="15"/>
    </row>
    <row r="9" spans="1:15" ht="15.75" customHeight="1">
      <c r="A9" s="11" t="s">
        <v>66</v>
      </c>
      <c r="B9" s="35">
        <v>44238</v>
      </c>
      <c r="C9" s="35">
        <v>44547</v>
      </c>
      <c r="D9" s="11" t="s">
        <v>67</v>
      </c>
      <c r="E9" s="11" t="s">
        <v>68</v>
      </c>
      <c r="F9" s="11" t="s">
        <v>69</v>
      </c>
      <c r="G9" s="11" t="s">
        <v>70</v>
      </c>
      <c r="H9" s="15"/>
      <c r="I9" s="11" t="s">
        <v>66</v>
      </c>
      <c r="J9" s="11" t="s">
        <v>86</v>
      </c>
      <c r="K9" s="11" t="s">
        <v>87</v>
      </c>
      <c r="L9" s="11" t="s">
        <v>88</v>
      </c>
      <c r="M9" s="11" t="s">
        <v>89</v>
      </c>
      <c r="N9" s="42"/>
      <c r="O9" s="42"/>
    </row>
    <row r="10" spans="1:15" ht="15.75" customHeight="1">
      <c r="A10" s="13" t="s">
        <v>71</v>
      </c>
      <c r="B10" s="36">
        <f>13+39/60</f>
        <v>13.65</v>
      </c>
      <c r="C10" s="36">
        <f>8+46/60</f>
        <v>8.7666666666666675</v>
      </c>
      <c r="D10" s="36">
        <f>13+24/60</f>
        <v>13.4</v>
      </c>
      <c r="E10" s="37">
        <f>26+4/60</f>
        <v>26.066666666666666</v>
      </c>
      <c r="F10" s="38">
        <f>40+50/60</f>
        <v>40.833333333333336</v>
      </c>
      <c r="G10" s="38">
        <f>50+48/60</f>
        <v>50.8</v>
      </c>
      <c r="H10" s="39"/>
      <c r="I10" s="13" t="s">
        <v>71</v>
      </c>
      <c r="J10" s="36">
        <f>(211+14/60)*(7/30)</f>
        <v>49.287777777777777</v>
      </c>
      <c r="K10" s="36">
        <f>(172+25/60)*(7/30)</f>
        <v>40.230555555555554</v>
      </c>
      <c r="L10" s="36">
        <f>(144+30/60)*(7/30)</f>
        <v>33.716666666666669</v>
      </c>
      <c r="M10" s="36">
        <f>(113+41/60)*(7/30)</f>
        <v>26.526111111111113</v>
      </c>
      <c r="N10" s="39"/>
      <c r="O10" s="42"/>
    </row>
    <row r="11" spans="1:15" ht="15.75" customHeight="1">
      <c r="A11" s="13" t="s">
        <v>72</v>
      </c>
      <c r="B11" s="36">
        <f>2+55/60</f>
        <v>2.9166666666666665</v>
      </c>
      <c r="C11" s="36">
        <f>4+5/60</f>
        <v>4.083333333333333</v>
      </c>
      <c r="D11" s="37">
        <f>3+44/60</f>
        <v>3.7333333333333334</v>
      </c>
      <c r="E11" s="38">
        <f>1+37/60</f>
        <v>1.6166666666666667</v>
      </c>
      <c r="F11" s="38">
        <f>27/60</f>
        <v>0.45</v>
      </c>
      <c r="G11" s="38">
        <f>9/60</f>
        <v>0.15</v>
      </c>
      <c r="H11" s="39"/>
      <c r="I11" s="13" t="s">
        <v>72</v>
      </c>
      <c r="J11" s="36">
        <f>(42+22/60)*(7/30)</f>
        <v>9.8855555555555554</v>
      </c>
      <c r="K11" s="36">
        <f>(33+33/60)*(7/30)</f>
        <v>7.8283333333333331</v>
      </c>
      <c r="L11" s="36">
        <f>(22+54/60)*(7/30)</f>
        <v>5.3433333333333328</v>
      </c>
      <c r="M11" s="36">
        <f>(17+58/60)*(7/30)</f>
        <v>4.1922222222222221</v>
      </c>
      <c r="N11" s="42"/>
      <c r="O11" s="42"/>
    </row>
    <row r="12" spans="1:15" ht="15.75" customHeight="1">
      <c r="A12" s="13" t="s">
        <v>73</v>
      </c>
      <c r="B12" s="36">
        <f>5+33/60</f>
        <v>5.55</v>
      </c>
      <c r="C12" s="36">
        <f>3+26/60</f>
        <v>3.4333333333333336</v>
      </c>
      <c r="D12" s="38">
        <f>5 + 20/60</f>
        <v>5.333333333333333</v>
      </c>
      <c r="E12" s="38">
        <f>4+57/60</f>
        <v>4.95</v>
      </c>
      <c r="F12" s="38">
        <f>3+24/60</f>
        <v>3.4</v>
      </c>
      <c r="G12" s="38">
        <f>2 + 10/60</f>
        <v>2.1666666666666665</v>
      </c>
      <c r="H12" s="42"/>
      <c r="I12" s="13" t="s">
        <v>73</v>
      </c>
      <c r="J12" s="36">
        <f>(39+9/60)*(7/30)</f>
        <v>9.1349999999999998</v>
      </c>
      <c r="K12" s="36">
        <f>(34+1/60)*(7/30)</f>
        <v>7.9372222222222222</v>
      </c>
      <c r="L12" s="36">
        <f>(26+37/60)*(7/30)</f>
        <v>6.2105555555555556</v>
      </c>
      <c r="M12" s="36">
        <f>(18+25/60)*(7/30)</f>
        <v>4.2972222222222225</v>
      </c>
      <c r="N12" s="42"/>
      <c r="O12" s="42"/>
    </row>
    <row r="13" spans="1:15" ht="15.75" customHeight="1">
      <c r="A13" s="13" t="s">
        <v>74</v>
      </c>
      <c r="B13" s="13" t="s">
        <v>11</v>
      </c>
      <c r="C13" s="13" t="s">
        <v>11</v>
      </c>
      <c r="D13" s="38">
        <f>3+42/60</f>
        <v>3.7</v>
      </c>
      <c r="E13" s="38">
        <f>4+15/60</f>
        <v>4.25</v>
      </c>
      <c r="F13" s="38">
        <f>4+24/60</f>
        <v>4.4000000000000004</v>
      </c>
      <c r="G13" s="38">
        <f>2+46/60</f>
        <v>2.7666666666666666</v>
      </c>
      <c r="H13" s="42"/>
      <c r="I13" s="13" t="s">
        <v>90</v>
      </c>
      <c r="J13" s="36">
        <f>(51+29/60)*(7/30)</f>
        <v>12.012777777777778</v>
      </c>
      <c r="K13" s="36">
        <f>(41+36/60)*(7/30)</f>
        <v>9.706666666666667</v>
      </c>
      <c r="L13" s="36">
        <f>(39+6/60)*(7/30)</f>
        <v>9.1233333333333331</v>
      </c>
      <c r="M13" s="36">
        <f>(33+38/60)*(7/30)</f>
        <v>7.847777777777778</v>
      </c>
      <c r="N13" s="39"/>
      <c r="O13" s="39"/>
    </row>
    <row r="14" spans="1:15" ht="15.75" customHeight="1">
      <c r="A14" s="13" t="s">
        <v>75</v>
      </c>
      <c r="B14" s="13" t="s">
        <v>11</v>
      </c>
      <c r="C14" s="13" t="s">
        <v>11</v>
      </c>
      <c r="D14" s="37">
        <f>52/60</f>
        <v>0.8666666666666667</v>
      </c>
      <c r="E14" s="37">
        <f>38/60</f>
        <v>0.6333333333333333</v>
      </c>
      <c r="F14" s="37">
        <f>30/60</f>
        <v>0.5</v>
      </c>
      <c r="G14" s="37">
        <f>14/60</f>
        <v>0.23333333333333334</v>
      </c>
      <c r="H14" s="39"/>
      <c r="I14" s="13" t="s">
        <v>76</v>
      </c>
      <c r="J14" s="36">
        <f>(56+19/60)*(7/30)</f>
        <v>13.140555555555556</v>
      </c>
      <c r="K14" s="36">
        <f>(51+39/60)*(7/30)</f>
        <v>12.051666666666666</v>
      </c>
      <c r="L14" s="36">
        <f>(51+38/60)*(7/30)</f>
        <v>12.047777777777778</v>
      </c>
      <c r="M14" s="36">
        <f>(44+43/60)*(7/30)</f>
        <v>10.433888888888889</v>
      </c>
      <c r="N14" s="39"/>
      <c r="O14" s="42"/>
    </row>
    <row r="15" spans="1:15" ht="15.75" customHeight="1">
      <c r="A15" s="13" t="s">
        <v>76</v>
      </c>
      <c r="B15" s="13" t="s">
        <v>11</v>
      </c>
      <c r="C15" s="13" t="s">
        <v>11</v>
      </c>
      <c r="D15" s="37">
        <f>24 + 40/60</f>
        <v>24.666666666666668</v>
      </c>
      <c r="E15" s="37">
        <f>25+1/60</f>
        <v>25.016666666666666</v>
      </c>
      <c r="F15" s="37">
        <f>19+32/60</f>
        <v>19.533333333333335</v>
      </c>
      <c r="G15" s="38">
        <f>13+22/60</f>
        <v>13.366666666666667</v>
      </c>
      <c r="H15" s="39"/>
      <c r="I15" s="13" t="s">
        <v>79</v>
      </c>
      <c r="J15" s="36">
        <f>(29+18/60)*(7/30)</f>
        <v>6.8366666666666669</v>
      </c>
      <c r="K15" s="36">
        <f>(30+32/60)*(7/30)</f>
        <v>7.1244444444444452</v>
      </c>
      <c r="L15" s="36">
        <f>(29+52/60)*(7/30)</f>
        <v>6.9688888888888894</v>
      </c>
      <c r="M15" s="36">
        <f>(27+32/60)*(7/30)</f>
        <v>6.4244444444444451</v>
      </c>
      <c r="N15" s="39"/>
      <c r="O15" s="39"/>
    </row>
    <row r="16" spans="1:15" ht="15.75" customHeight="1">
      <c r="A16" s="13" t="s">
        <v>77</v>
      </c>
      <c r="B16" s="13" t="s">
        <v>11</v>
      </c>
      <c r="C16" s="13" t="s">
        <v>11</v>
      </c>
      <c r="D16" s="37">
        <f>2+30/60</f>
        <v>2.5</v>
      </c>
      <c r="E16" s="37">
        <f>1+37/60</f>
        <v>1.6166666666666667</v>
      </c>
      <c r="F16" s="37">
        <f>59/60</f>
        <v>0.98333333333333328</v>
      </c>
      <c r="G16" s="37">
        <f>35/60</f>
        <v>0.58333333333333337</v>
      </c>
      <c r="H16" s="39"/>
      <c r="I16" s="11" t="s">
        <v>91</v>
      </c>
      <c r="J16" s="11">
        <v>17</v>
      </c>
      <c r="K16" s="11">
        <v>25</v>
      </c>
      <c r="L16" s="11">
        <v>21</v>
      </c>
      <c r="M16" s="11">
        <v>37</v>
      </c>
      <c r="N16" s="42"/>
      <c r="O16" s="42"/>
    </row>
    <row r="17" spans="1:15" ht="15.75" customHeight="1">
      <c r="A17" s="13" t="s">
        <v>78</v>
      </c>
      <c r="B17" s="13" t="s">
        <v>11</v>
      </c>
      <c r="C17" s="13" t="s">
        <v>11</v>
      </c>
      <c r="D17" s="38">
        <f>42/60</f>
        <v>0.7</v>
      </c>
      <c r="E17" s="38">
        <f>34/60</f>
        <v>0.56666666666666665</v>
      </c>
      <c r="F17" s="38">
        <f>22/60</f>
        <v>0.36666666666666664</v>
      </c>
      <c r="G17" s="38">
        <f>12/60</f>
        <v>0.2</v>
      </c>
      <c r="H17" s="42"/>
      <c r="L17" s="42"/>
      <c r="M17" s="42"/>
      <c r="N17" s="39"/>
      <c r="O17" s="39"/>
    </row>
    <row r="18" spans="1:15" ht="15.75" customHeight="1">
      <c r="A18" s="13" t="s">
        <v>79</v>
      </c>
      <c r="B18" s="13" t="s">
        <v>11</v>
      </c>
      <c r="C18" s="13" t="s">
        <v>11</v>
      </c>
      <c r="D18" s="37">
        <f>4+22/60</f>
        <v>4.3666666666666663</v>
      </c>
      <c r="E18" s="37">
        <f>6+2/60</f>
        <v>6.0333333333333332</v>
      </c>
      <c r="F18" s="37">
        <f>6+7/60</f>
        <v>6.1166666666666663</v>
      </c>
      <c r="G18" s="37">
        <f>7+7/60</f>
        <v>7.1166666666666663</v>
      </c>
      <c r="H18" s="39"/>
      <c r="I18" s="43" t="s">
        <v>198</v>
      </c>
      <c r="L18" s="39"/>
      <c r="M18" s="39"/>
      <c r="N18" s="39"/>
      <c r="O18" s="39"/>
    </row>
    <row r="19" spans="1:15" ht="15.75" customHeight="1">
      <c r="A19" s="13" t="s">
        <v>77</v>
      </c>
      <c r="B19" s="13" t="s">
        <v>11</v>
      </c>
      <c r="C19" s="13" t="s">
        <v>11</v>
      </c>
      <c r="D19" s="37">
        <f>1+3/60</f>
        <v>1.05</v>
      </c>
      <c r="E19" s="37">
        <f>55/60</f>
        <v>0.91666666666666663</v>
      </c>
      <c r="F19" s="37">
        <f>35/60</f>
        <v>0.58333333333333337</v>
      </c>
      <c r="G19" s="37">
        <f>36/60</f>
        <v>0.6</v>
      </c>
      <c r="H19" s="39"/>
      <c r="I19" s="40"/>
      <c r="K19" s="40"/>
    </row>
    <row r="20" spans="1:15" ht="15.75" customHeight="1">
      <c r="A20" s="13" t="s">
        <v>78</v>
      </c>
      <c r="B20" s="13" t="s">
        <v>11</v>
      </c>
      <c r="C20" s="13" t="s">
        <v>11</v>
      </c>
      <c r="D20" s="38">
        <f>6/60</f>
        <v>0.1</v>
      </c>
      <c r="E20" s="38">
        <f>9/60</f>
        <v>0.15</v>
      </c>
      <c r="F20" s="38">
        <f>6/60</f>
        <v>0.1</v>
      </c>
      <c r="G20" s="38">
        <f>5/60</f>
        <v>8.3333333333333329E-2</v>
      </c>
      <c r="H20" s="42"/>
      <c r="I20" s="40"/>
      <c r="J20" s="40"/>
      <c r="K20" s="40"/>
    </row>
    <row r="21" spans="1:15" ht="15.75" customHeight="1">
      <c r="H21" s="40"/>
      <c r="I21" s="40"/>
      <c r="J21" s="40"/>
      <c r="K21" s="40"/>
    </row>
    <row r="22" spans="1:15" ht="15.75" customHeight="1">
      <c r="A22" s="11" t="s">
        <v>80</v>
      </c>
      <c r="B22" s="89" t="s">
        <v>65</v>
      </c>
      <c r="C22" s="81"/>
      <c r="D22" s="81"/>
      <c r="E22" s="81"/>
      <c r="F22" s="81"/>
      <c r="G22" s="70"/>
      <c r="H22" s="40"/>
      <c r="I22" s="40"/>
      <c r="J22" s="40"/>
      <c r="K22" s="40"/>
    </row>
    <row r="23" spans="1:15" ht="15.75" customHeight="1">
      <c r="A23" s="11" t="s">
        <v>66</v>
      </c>
      <c r="B23" s="35">
        <v>44238</v>
      </c>
      <c r="C23" s="35">
        <v>44547</v>
      </c>
      <c r="D23" s="11" t="s">
        <v>67</v>
      </c>
      <c r="E23" s="11" t="s">
        <v>68</v>
      </c>
      <c r="F23" s="11" t="s">
        <v>69</v>
      </c>
      <c r="G23" s="11" t="s">
        <v>70</v>
      </c>
      <c r="H23" s="40"/>
      <c r="I23" s="40"/>
    </row>
    <row r="24" spans="1:15" ht="15.75" customHeight="1">
      <c r="A24" s="13" t="s">
        <v>71</v>
      </c>
      <c r="B24" s="36">
        <v>12</v>
      </c>
      <c r="C24" s="36">
        <f>7+36/60</f>
        <v>7.6</v>
      </c>
      <c r="D24" s="36">
        <f>11+21/60</f>
        <v>11.35</v>
      </c>
      <c r="E24" s="37">
        <f>23+48/60</f>
        <v>23.8</v>
      </c>
      <c r="F24" s="38">
        <f>40+1/60</f>
        <v>40.016666666666666</v>
      </c>
      <c r="G24" s="38">
        <f>50+36/60</f>
        <v>50.6</v>
      </c>
      <c r="J24" s="41"/>
    </row>
    <row r="25" spans="1:15" ht="15.75" customHeight="1">
      <c r="A25" s="13" t="s">
        <v>72</v>
      </c>
      <c r="B25" s="36">
        <f>2+43/60</f>
        <v>2.7166666666666668</v>
      </c>
      <c r="C25" s="36">
        <f>4+11/60</f>
        <v>4.1833333333333336</v>
      </c>
      <c r="D25" s="37">
        <f>3+38/60</f>
        <v>3.6333333333333333</v>
      </c>
      <c r="E25" s="38">
        <f>1+44/60</f>
        <v>1.7333333333333334</v>
      </c>
      <c r="F25" s="38">
        <f>28/60</f>
        <v>0.46666666666666667</v>
      </c>
      <c r="G25" s="38">
        <f>10/60</f>
        <v>0.16666666666666666</v>
      </c>
      <c r="H25" s="41"/>
      <c r="I25" s="41"/>
    </row>
    <row r="26" spans="1:15" ht="15.75" customHeight="1">
      <c r="A26" s="13" t="s">
        <v>73</v>
      </c>
      <c r="B26" s="36">
        <f>7+43/60</f>
        <v>7.7166666666666668</v>
      </c>
      <c r="C26" s="36">
        <f>4+31/60</f>
        <v>4.5166666666666666</v>
      </c>
      <c r="D26" s="38">
        <f>6+57/60</f>
        <v>6.95</v>
      </c>
      <c r="E26" s="38">
        <f>6+52/60</f>
        <v>6.8666666666666671</v>
      </c>
      <c r="F26" s="38">
        <f>4+57/60</f>
        <v>4.95</v>
      </c>
      <c r="G26" s="38">
        <f>3+12/60</f>
        <v>3.2</v>
      </c>
      <c r="J26" s="40"/>
    </row>
    <row r="27" spans="1:15" ht="15.75" customHeight="1">
      <c r="A27" s="13" t="s">
        <v>74</v>
      </c>
      <c r="B27" s="13" t="s">
        <v>11</v>
      </c>
      <c r="C27" s="13" t="s">
        <v>11</v>
      </c>
      <c r="D27" s="38">
        <f>3+58/60</f>
        <v>3.9666666666666668</v>
      </c>
      <c r="E27" s="38">
        <f>4+46/60</f>
        <v>4.7666666666666666</v>
      </c>
      <c r="F27" s="38">
        <f>5+2/60</f>
        <v>5.0333333333333332</v>
      </c>
      <c r="G27" s="38">
        <f>3+10/60</f>
        <v>3.1666666666666665</v>
      </c>
      <c r="H27" s="40"/>
      <c r="I27" s="40"/>
      <c r="J27" s="40"/>
      <c r="K27" s="40"/>
    </row>
    <row r="28" spans="1:15" ht="15.75" customHeight="1">
      <c r="A28" s="13" t="s">
        <v>75</v>
      </c>
      <c r="B28" s="13" t="s">
        <v>11</v>
      </c>
      <c r="C28" s="13" t="s">
        <v>11</v>
      </c>
      <c r="D28" s="37">
        <f>1+44/60</f>
        <v>1.7333333333333334</v>
      </c>
      <c r="E28" s="37">
        <f>1+17/60</f>
        <v>1.2833333333333332</v>
      </c>
      <c r="F28" s="37">
        <f>1+4/60</f>
        <v>1.0666666666666667</v>
      </c>
      <c r="G28" s="37">
        <f>30/60</f>
        <v>0.5</v>
      </c>
      <c r="H28" s="40"/>
      <c r="I28" s="40"/>
      <c r="J28" s="40"/>
      <c r="K28" s="40"/>
    </row>
    <row r="29" spans="1:15" ht="15.75" customHeight="1">
      <c r="A29" s="13" t="s">
        <v>76</v>
      </c>
      <c r="B29" s="13" t="s">
        <v>11</v>
      </c>
      <c r="C29" s="13" t="s">
        <v>11</v>
      </c>
      <c r="D29" s="37">
        <f>29+29/60</f>
        <v>29.483333333333334</v>
      </c>
      <c r="E29" s="37">
        <f>30+7/60</f>
        <v>30.116666666666667</v>
      </c>
      <c r="F29" s="37">
        <f>25+14/60</f>
        <v>25.233333333333334</v>
      </c>
      <c r="G29" s="38">
        <f>19+7/60</f>
        <v>19.116666666666667</v>
      </c>
      <c r="H29" s="40"/>
      <c r="I29" s="40"/>
      <c r="J29" s="40"/>
      <c r="K29" s="40"/>
    </row>
    <row r="30" spans="1:15" ht="15.75" customHeight="1">
      <c r="A30" s="13" t="s">
        <v>77</v>
      </c>
      <c r="B30" s="13" t="s">
        <v>11</v>
      </c>
      <c r="C30" s="13" t="s">
        <v>11</v>
      </c>
      <c r="D30" s="37">
        <f>3+2/60</f>
        <v>3.0333333333333332</v>
      </c>
      <c r="E30" s="37">
        <f>2+17/60</f>
        <v>2.2833333333333332</v>
      </c>
      <c r="F30" s="37">
        <f>1+23/60</f>
        <v>1.3833333333333333</v>
      </c>
      <c r="G30" s="37">
        <f>58/60</f>
        <v>0.96666666666666667</v>
      </c>
      <c r="H30" s="40"/>
      <c r="I30" s="40"/>
    </row>
    <row r="31" spans="1:15" ht="15.75" customHeight="1">
      <c r="A31" s="13" t="s">
        <v>78</v>
      </c>
      <c r="B31" s="13" t="s">
        <v>11</v>
      </c>
      <c r="C31" s="13" t="s">
        <v>11</v>
      </c>
      <c r="D31" s="38">
        <f>1+37/60</f>
        <v>1.6166666666666667</v>
      </c>
      <c r="E31" s="38">
        <f>51/60</f>
        <v>0.85</v>
      </c>
      <c r="F31" s="38">
        <f>36/60</f>
        <v>0.6</v>
      </c>
      <c r="G31" s="38">
        <f>25/60</f>
        <v>0.41666666666666669</v>
      </c>
      <c r="J31" s="40"/>
    </row>
    <row r="32" spans="1:15" ht="15.75" customHeight="1">
      <c r="A32" s="13" t="s">
        <v>79</v>
      </c>
      <c r="B32" s="13" t="s">
        <v>11</v>
      </c>
      <c r="C32" s="13" t="s">
        <v>11</v>
      </c>
      <c r="D32" s="37">
        <f>5+4/60</f>
        <v>5.0666666666666664</v>
      </c>
      <c r="E32" s="37">
        <f>7+8/60</f>
        <v>7.1333333333333337</v>
      </c>
      <c r="F32" s="37">
        <f>7+16/60</f>
        <v>7.2666666666666666</v>
      </c>
      <c r="G32" s="37">
        <f>7+58/60</f>
        <v>7.9666666666666668</v>
      </c>
      <c r="H32" s="40"/>
      <c r="I32" s="40"/>
      <c r="J32" s="40"/>
      <c r="K32" s="40"/>
    </row>
    <row r="33" spans="1:11" ht="15.75" customHeight="1">
      <c r="A33" s="13" t="s">
        <v>77</v>
      </c>
      <c r="B33" s="13" t="s">
        <v>11</v>
      </c>
      <c r="C33" s="13" t="s">
        <v>11</v>
      </c>
      <c r="D33" s="37">
        <f>59/60</f>
        <v>0.98333333333333328</v>
      </c>
      <c r="E33" s="37">
        <f>1+4/60</f>
        <v>1.0666666666666667</v>
      </c>
      <c r="F33" s="37">
        <f>51/60</f>
        <v>0.85</v>
      </c>
      <c r="G33" s="37">
        <f>39/60</f>
        <v>0.65</v>
      </c>
      <c r="H33" s="40"/>
      <c r="I33" s="40"/>
      <c r="J33" s="40"/>
      <c r="K33" s="40"/>
    </row>
    <row r="34" spans="1:11" ht="15.75" customHeight="1">
      <c r="A34" s="13" t="s">
        <v>78</v>
      </c>
      <c r="B34" s="13" t="s">
        <v>11</v>
      </c>
      <c r="C34" s="13" t="s">
        <v>11</v>
      </c>
      <c r="D34" s="38">
        <f>12/60</f>
        <v>0.2</v>
      </c>
      <c r="E34" s="38">
        <f>13/60</f>
        <v>0.21666666666666667</v>
      </c>
      <c r="F34" s="38">
        <f>10/60</f>
        <v>0.16666666666666666</v>
      </c>
      <c r="G34" s="38">
        <f>6/60</f>
        <v>0.1</v>
      </c>
      <c r="H34" s="40"/>
      <c r="I34" s="40"/>
    </row>
    <row r="35" spans="1:11" ht="15.75" customHeight="1">
      <c r="A35" s="67" t="s">
        <v>81</v>
      </c>
      <c r="B35" s="68"/>
      <c r="C35" s="68"/>
      <c r="D35" s="68"/>
      <c r="E35" s="68"/>
      <c r="F35" s="68"/>
      <c r="G35" s="68"/>
    </row>
    <row r="36" spans="1:11" ht="15.75" customHeight="1">
      <c r="A36" s="67"/>
      <c r="B36" s="68"/>
      <c r="C36" s="68"/>
      <c r="D36" s="68"/>
      <c r="E36" s="68"/>
      <c r="F36" s="68"/>
      <c r="G36" s="68"/>
    </row>
    <row r="37" spans="1:11" s="63" customFormat="1" ht="15.75" customHeight="1"/>
    <row r="38" spans="1:11" ht="40" customHeight="1"/>
    <row r="39" spans="1:11" ht="40" customHeight="1"/>
    <row r="40" spans="1:11" ht="40" customHeight="1"/>
    <row r="41" spans="1:11" ht="15.25"/>
    <row r="42" spans="1:11" ht="15.25"/>
    <row r="43" spans="1:11" ht="15.25"/>
    <row r="44" spans="1:11" ht="15.25"/>
    <row r="45" spans="1:11" ht="15.25"/>
    <row r="46" spans="1:11" ht="15.25"/>
    <row r="47" spans="1:11" ht="15.25"/>
    <row r="48" spans="1:11" ht="15.25"/>
    <row r="49" spans="1:7" ht="15.25"/>
    <row r="50" spans="1:7" ht="15.25"/>
    <row r="51" spans="1:7" ht="15.25"/>
    <row r="52" spans="1:7" ht="15.25"/>
    <row r="53" spans="1:7" ht="15.5">
      <c r="A53" s="15"/>
      <c r="D53" s="42"/>
      <c r="E53" s="42"/>
      <c r="F53" s="42"/>
      <c r="G53" s="42"/>
    </row>
  </sheetData>
  <mergeCells count="12">
    <mergeCell ref="I3:O3"/>
    <mergeCell ref="I4:O4"/>
    <mergeCell ref="I5:O5"/>
    <mergeCell ref="I6:O6"/>
    <mergeCell ref="J8:M8"/>
    <mergeCell ref="A35:G35"/>
    <mergeCell ref="A36:G36"/>
    <mergeCell ref="A4:G4"/>
    <mergeCell ref="A5:G5"/>
    <mergeCell ref="A6:G6"/>
    <mergeCell ref="B8:G8"/>
    <mergeCell ref="B22:G22"/>
  </mergeCells>
  <hyperlinks>
    <hyperlink ref="A4" r:id="rId1" xr:uid="{00000000-0004-0000-0300-000000000000}"/>
    <hyperlink ref="A5" r:id="rId2" xr:uid="{00000000-0004-0000-0300-000001000000}"/>
    <hyperlink ref="I5" r:id="rId3" display="Below we include data from a 2015 Nielsen report (most recent with the data) on consumption of various media types by individuals with different income levels." xr:uid="{00000000-0004-0000-0300-000002000000}"/>
    <hyperlink ref="I18" r:id="rId4" xr:uid="{00000000-0004-0000-0300-000003000000}"/>
  </hyperlinks>
  <pageMargins left="0.7" right="0.7" top="0.75" bottom="0.75" header="0.3" footer="0.3"/>
  <ignoredErrors>
    <ignoredError sqref="E2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39"/>
  <sheetViews>
    <sheetView workbookViewId="0">
      <selection sqref="A1:D1"/>
    </sheetView>
  </sheetViews>
  <sheetFormatPr defaultColWidth="14.5" defaultRowHeight="15.75" customHeight="1"/>
  <cols>
    <col min="1" max="1" width="52.31640625" style="8" customWidth="1"/>
    <col min="2" max="2" width="22.81640625" style="8" customWidth="1"/>
    <col min="3" max="16384" width="14.5" style="8"/>
  </cols>
  <sheetData>
    <row r="1" spans="1:26" ht="15.75" customHeight="1">
      <c r="A1" s="71" t="s">
        <v>220</v>
      </c>
      <c r="B1" s="68"/>
      <c r="C1" s="68"/>
      <c r="D1" s="68"/>
      <c r="E1" s="45"/>
      <c r="F1" s="45"/>
      <c r="G1" s="45"/>
      <c r="H1" s="45"/>
      <c r="I1" s="45"/>
      <c r="J1" s="45"/>
      <c r="K1" s="45"/>
      <c r="L1" s="45"/>
      <c r="M1" s="45"/>
      <c r="N1" s="45"/>
      <c r="O1" s="45"/>
      <c r="P1" s="45"/>
      <c r="Q1" s="45"/>
      <c r="R1" s="45"/>
      <c r="S1" s="45"/>
      <c r="T1" s="45"/>
      <c r="U1" s="45"/>
      <c r="V1" s="45"/>
      <c r="W1" s="45"/>
      <c r="X1" s="45"/>
      <c r="Y1" s="45"/>
      <c r="Z1" s="45"/>
    </row>
    <row r="2" spans="1:26" ht="15.25">
      <c r="A2" s="67" t="s">
        <v>219</v>
      </c>
      <c r="B2" s="68"/>
      <c r="C2" s="68"/>
      <c r="D2" s="68"/>
    </row>
    <row r="3" spans="1:26" ht="15.75" customHeight="1">
      <c r="A3" s="67"/>
      <c r="B3" s="68"/>
      <c r="C3" s="68"/>
      <c r="D3" s="68"/>
    </row>
    <row r="4" spans="1:26" ht="40" customHeight="1">
      <c r="A4" s="72" t="s">
        <v>199</v>
      </c>
      <c r="B4" s="68"/>
      <c r="C4" s="68"/>
      <c r="D4" s="68"/>
    </row>
    <row r="5" spans="1:26" ht="15.75" customHeight="1">
      <c r="A5" s="29"/>
      <c r="B5" s="29"/>
    </row>
    <row r="6" spans="1:26" ht="15.75" customHeight="1">
      <c r="A6" s="11" t="s">
        <v>66</v>
      </c>
      <c r="B6" s="11" t="s">
        <v>92</v>
      </c>
      <c r="C6" s="45"/>
      <c r="D6" s="45"/>
      <c r="E6" s="45"/>
      <c r="F6" s="45"/>
      <c r="G6" s="45"/>
      <c r="H6" s="45"/>
      <c r="I6" s="45"/>
      <c r="J6" s="45"/>
      <c r="K6" s="45"/>
      <c r="L6" s="45"/>
      <c r="M6" s="45"/>
      <c r="N6" s="45"/>
      <c r="O6" s="45"/>
      <c r="P6" s="45"/>
      <c r="Q6" s="45"/>
      <c r="R6" s="45"/>
      <c r="S6" s="45"/>
      <c r="T6" s="45"/>
      <c r="U6" s="45"/>
      <c r="V6" s="45"/>
      <c r="W6" s="45"/>
      <c r="X6" s="45"/>
      <c r="Y6" s="45"/>
      <c r="Z6" s="45"/>
    </row>
    <row r="7" spans="1:26" ht="15.75" customHeight="1">
      <c r="A7" s="13" t="s">
        <v>93</v>
      </c>
      <c r="B7" s="13" t="s">
        <v>94</v>
      </c>
    </row>
    <row r="8" spans="1:26" ht="15.75" customHeight="1">
      <c r="A8" s="13" t="s">
        <v>95</v>
      </c>
      <c r="B8" s="13" t="s">
        <v>96</v>
      </c>
    </row>
    <row r="9" spans="1:26" ht="15.75" customHeight="1">
      <c r="A9" s="13" t="s">
        <v>97</v>
      </c>
      <c r="B9" s="13" t="s">
        <v>98</v>
      </c>
    </row>
    <row r="10" spans="1:26" ht="15.75" customHeight="1">
      <c r="A10" s="13" t="s">
        <v>99</v>
      </c>
      <c r="B10" s="13" t="s">
        <v>100</v>
      </c>
    </row>
    <row r="11" spans="1:26" ht="15.75" customHeight="1">
      <c r="A11" s="13" t="s">
        <v>101</v>
      </c>
      <c r="B11" s="13" t="s">
        <v>102</v>
      </c>
    </row>
    <row r="12" spans="1:26" ht="15.75" customHeight="1">
      <c r="A12" s="13" t="s">
        <v>103</v>
      </c>
      <c r="B12" s="13" t="s">
        <v>104</v>
      </c>
    </row>
    <row r="13" spans="1:26" ht="15.75" customHeight="1">
      <c r="A13" s="29"/>
      <c r="B13" s="29"/>
    </row>
    <row r="14" spans="1:26" ht="15.75" customHeight="1">
      <c r="A14" s="29"/>
      <c r="B14" s="29"/>
    </row>
    <row r="15" spans="1:26" ht="40" customHeight="1">
      <c r="A15" s="72" t="s">
        <v>200</v>
      </c>
      <c r="B15" s="68"/>
      <c r="C15" s="68"/>
      <c r="D15" s="68"/>
    </row>
    <row r="16" spans="1:26" ht="15.75" customHeight="1">
      <c r="A16" s="29"/>
      <c r="B16" s="29"/>
    </row>
    <row r="17" spans="1:4" ht="15.75" customHeight="1">
      <c r="A17" s="11" t="s">
        <v>66</v>
      </c>
      <c r="B17" s="11" t="s">
        <v>92</v>
      </c>
    </row>
    <row r="18" spans="1:4" ht="15.75" customHeight="1">
      <c r="A18" s="13" t="s">
        <v>201</v>
      </c>
      <c r="B18" s="13" t="s">
        <v>105</v>
      </c>
    </row>
    <row r="19" spans="1:4" ht="15.75" customHeight="1">
      <c r="A19" s="13" t="s">
        <v>202</v>
      </c>
      <c r="B19" s="13" t="s">
        <v>106</v>
      </c>
    </row>
    <row r="20" spans="1:4" ht="15.75" customHeight="1">
      <c r="A20" s="13" t="s">
        <v>107</v>
      </c>
      <c r="B20" s="13" t="s">
        <v>108</v>
      </c>
    </row>
    <row r="21" spans="1:4" ht="15.75" customHeight="1">
      <c r="A21" s="13" t="s">
        <v>203</v>
      </c>
      <c r="B21" s="13" t="s">
        <v>109</v>
      </c>
    </row>
    <row r="22" spans="1:4" ht="15.75" customHeight="1">
      <c r="A22" s="13" t="s">
        <v>204</v>
      </c>
      <c r="B22" s="13" t="s">
        <v>110</v>
      </c>
    </row>
    <row r="23" spans="1:4" ht="15.75" customHeight="1">
      <c r="A23" s="13" t="s">
        <v>205</v>
      </c>
      <c r="B23" s="13" t="s">
        <v>111</v>
      </c>
    </row>
    <row r="25" spans="1:4" ht="15.75" customHeight="1">
      <c r="A25" s="29" t="s">
        <v>112</v>
      </c>
    </row>
    <row r="27" spans="1:4" ht="40" customHeight="1">
      <c r="A27" s="67" t="s">
        <v>113</v>
      </c>
      <c r="B27" s="68"/>
      <c r="C27" s="68"/>
      <c r="D27" s="68"/>
    </row>
    <row r="28" spans="1:4" ht="60" customHeight="1">
      <c r="A28" s="72" t="s">
        <v>206</v>
      </c>
      <c r="B28" s="68"/>
      <c r="C28" s="68"/>
      <c r="D28" s="68"/>
    </row>
    <row r="35" spans="1:2" ht="15.75" customHeight="1">
      <c r="A35" s="46"/>
      <c r="B35" s="46"/>
    </row>
    <row r="36" spans="1:2" ht="15.75" customHeight="1">
      <c r="A36" s="46"/>
      <c r="B36" s="46"/>
    </row>
    <row r="37" spans="1:2" ht="15.75" customHeight="1">
      <c r="A37" s="46"/>
      <c r="B37" s="46"/>
    </row>
    <row r="38" spans="1:2" ht="15.75" customHeight="1">
      <c r="A38" s="46"/>
      <c r="B38" s="46"/>
    </row>
    <row r="39" spans="1:2" ht="15.75" customHeight="1">
      <c r="A39" s="29"/>
    </row>
  </sheetData>
  <mergeCells count="7">
    <mergeCell ref="A27:D27"/>
    <mergeCell ref="A28:D28"/>
    <mergeCell ref="A1:D1"/>
    <mergeCell ref="A2:D2"/>
    <mergeCell ref="A3:D3"/>
    <mergeCell ref="A4:D4"/>
    <mergeCell ref="A15:D15"/>
  </mergeCells>
  <hyperlinks>
    <hyperlink ref="A4" r:id="rId1" xr:uid="{00000000-0004-0000-0400-000000000000}"/>
    <hyperlink ref="A15" r:id="rId2" xr:uid="{00000000-0004-0000-0400-000001000000}"/>
    <hyperlink ref="A28" r:id="rId3"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5"/>
  <sheetViews>
    <sheetView workbookViewId="0">
      <selection activeCell="B19" sqref="B19"/>
    </sheetView>
  </sheetViews>
  <sheetFormatPr defaultColWidth="14.5" defaultRowHeight="15.75" customHeight="1"/>
  <cols>
    <col min="1" max="1" width="11.31640625" style="8" customWidth="1"/>
    <col min="2" max="3" width="25.81640625" style="8" customWidth="1"/>
    <col min="4" max="16384" width="14.5" style="8"/>
  </cols>
  <sheetData>
    <row r="1" spans="1:26" ht="15.75" customHeight="1">
      <c r="A1" s="71" t="s">
        <v>226</v>
      </c>
      <c r="B1" s="68"/>
      <c r="C1" s="68"/>
      <c r="D1" s="68"/>
      <c r="E1" s="68"/>
    </row>
    <row r="2" spans="1:26" ht="40" customHeight="1">
      <c r="A2" s="67" t="s">
        <v>114</v>
      </c>
      <c r="B2" s="68"/>
      <c r="C2" s="68"/>
      <c r="D2" s="68"/>
      <c r="E2" s="68"/>
    </row>
    <row r="3" spans="1:26" ht="40" customHeight="1">
      <c r="A3" s="67" t="s">
        <v>115</v>
      </c>
      <c r="B3" s="68"/>
      <c r="C3" s="68"/>
      <c r="D3" s="68"/>
      <c r="E3" s="68"/>
    </row>
    <row r="5" spans="1:26" ht="16">
      <c r="A5" s="93" t="s">
        <v>116</v>
      </c>
      <c r="B5" s="81"/>
      <c r="C5" s="70"/>
    </row>
    <row r="6" spans="1:26" ht="48">
      <c r="A6" s="47" t="s">
        <v>117</v>
      </c>
      <c r="B6" s="47" t="s">
        <v>118</v>
      </c>
      <c r="C6" s="47" t="s">
        <v>119</v>
      </c>
      <c r="D6" s="30"/>
      <c r="E6" s="30"/>
      <c r="F6" s="30"/>
      <c r="G6" s="30"/>
      <c r="H6" s="30"/>
      <c r="I6" s="30"/>
      <c r="J6" s="30"/>
      <c r="K6" s="30"/>
      <c r="L6" s="30"/>
      <c r="M6" s="30"/>
      <c r="N6" s="30"/>
      <c r="O6" s="30"/>
      <c r="P6" s="30"/>
      <c r="Q6" s="30"/>
      <c r="R6" s="30"/>
      <c r="S6" s="30"/>
      <c r="T6" s="30"/>
      <c r="U6" s="30"/>
      <c r="V6" s="30"/>
      <c r="W6" s="30"/>
      <c r="X6" s="30"/>
      <c r="Y6" s="30"/>
      <c r="Z6" s="30"/>
    </row>
    <row r="7" spans="1:26" ht="16">
      <c r="A7" s="48" t="s">
        <v>120</v>
      </c>
      <c r="B7" s="49">
        <v>15.6</v>
      </c>
      <c r="C7" s="49">
        <v>4.9000000000000004</v>
      </c>
    </row>
    <row r="8" spans="1:26" ht="16">
      <c r="A8" s="48" t="s">
        <v>121</v>
      </c>
      <c r="B8" s="49">
        <v>20.6</v>
      </c>
      <c r="C8" s="49">
        <v>3.8</v>
      </c>
    </row>
    <row r="9" spans="1:26" ht="16">
      <c r="A9" s="48" t="s">
        <v>122</v>
      </c>
      <c r="B9" s="49">
        <v>32</v>
      </c>
      <c r="C9" s="49">
        <v>6.5</v>
      </c>
    </row>
    <row r="10" spans="1:26" ht="16">
      <c r="A10" s="48" t="s">
        <v>123</v>
      </c>
      <c r="B10" s="49">
        <v>43.1</v>
      </c>
      <c r="C10" s="49">
        <v>10.8</v>
      </c>
    </row>
    <row r="11" spans="1:26" ht="16">
      <c r="A11" s="48" t="s">
        <v>124</v>
      </c>
      <c r="B11" s="49">
        <v>35.299999999999997</v>
      </c>
      <c r="C11" s="49">
        <v>16.600000000000001</v>
      </c>
    </row>
    <row r="14" spans="1:26" ht="15.75" customHeight="1">
      <c r="A14" s="72" t="s">
        <v>125</v>
      </c>
      <c r="B14" s="68"/>
      <c r="C14" s="68"/>
    </row>
    <row r="15" spans="1:26" ht="15.75" customHeight="1">
      <c r="A15" s="72" t="s">
        <v>126</v>
      </c>
      <c r="B15" s="68"/>
      <c r="C15" s="68"/>
    </row>
  </sheetData>
  <mergeCells count="6">
    <mergeCell ref="A15:C15"/>
    <mergeCell ref="A1:E1"/>
    <mergeCell ref="A2:E2"/>
    <mergeCell ref="A3:E3"/>
    <mergeCell ref="A5:C5"/>
    <mergeCell ref="A14:C14"/>
  </mergeCells>
  <hyperlinks>
    <hyperlink ref="A14" r:id="rId1" xr:uid="{00000000-0004-0000-0500-000000000000}"/>
    <hyperlink ref="A15"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9"/>
  <sheetViews>
    <sheetView workbookViewId="0">
      <selection activeCell="A2" sqref="A2:F2"/>
    </sheetView>
  </sheetViews>
  <sheetFormatPr defaultColWidth="14.5" defaultRowHeight="15.75" customHeight="1"/>
  <cols>
    <col min="1" max="1" width="42.81640625" style="8" customWidth="1"/>
    <col min="2" max="5" width="9.5" style="8" customWidth="1"/>
    <col min="6" max="6" width="18.5" style="8" customWidth="1"/>
    <col min="7" max="16384" width="14.5" style="8"/>
  </cols>
  <sheetData>
    <row r="1" spans="1:9" ht="15.75" customHeight="1">
      <c r="A1" s="71" t="s">
        <v>229</v>
      </c>
      <c r="B1" s="68"/>
      <c r="C1" s="68"/>
      <c r="D1" s="68"/>
      <c r="E1" s="68"/>
      <c r="F1" s="68"/>
    </row>
    <row r="2" spans="1:9" ht="40" customHeight="1">
      <c r="A2" s="67" t="s">
        <v>227</v>
      </c>
      <c r="B2" s="68"/>
      <c r="C2" s="68"/>
      <c r="D2" s="68"/>
      <c r="E2" s="68"/>
      <c r="F2" s="68"/>
    </row>
    <row r="3" spans="1:9" ht="40" customHeight="1">
      <c r="A3" s="84" t="s">
        <v>228</v>
      </c>
      <c r="B3" s="94"/>
      <c r="C3" s="94"/>
      <c r="D3" s="94"/>
      <c r="E3" s="94"/>
      <c r="F3" s="94"/>
      <c r="I3" s="29"/>
    </row>
    <row r="4" spans="1:9" ht="40" customHeight="1">
      <c r="A4" s="95" t="s">
        <v>127</v>
      </c>
      <c r="B4" s="68"/>
      <c r="C4" s="68"/>
      <c r="D4" s="68"/>
      <c r="E4" s="68"/>
      <c r="F4" s="68"/>
    </row>
    <row r="6" spans="1:9" ht="15.75" customHeight="1">
      <c r="A6" s="50" t="s">
        <v>128</v>
      </c>
      <c r="B6" s="51" t="s">
        <v>129</v>
      </c>
      <c r="C6" s="51" t="s">
        <v>130</v>
      </c>
      <c r="D6" s="51" t="s">
        <v>131</v>
      </c>
      <c r="E6" s="51" t="s">
        <v>132</v>
      </c>
      <c r="F6" s="51" t="s">
        <v>133</v>
      </c>
    </row>
    <row r="7" spans="1:9" ht="15.75" customHeight="1">
      <c r="A7" s="52" t="s">
        <v>134</v>
      </c>
      <c r="B7" s="13">
        <v>89.8</v>
      </c>
      <c r="C7" s="13">
        <v>3.8</v>
      </c>
      <c r="D7" s="13">
        <v>3.8</v>
      </c>
      <c r="E7" s="13">
        <v>2.6</v>
      </c>
      <c r="F7" s="13">
        <v>5.2</v>
      </c>
    </row>
    <row r="8" spans="1:9" ht="15.75" customHeight="1">
      <c r="A8" s="52" t="s">
        <v>135</v>
      </c>
      <c r="B8" s="13">
        <v>90.3</v>
      </c>
      <c r="C8" s="13">
        <v>3.4</v>
      </c>
      <c r="D8" s="13">
        <v>2.9</v>
      </c>
      <c r="E8" s="13">
        <v>3.4</v>
      </c>
      <c r="F8" s="13">
        <v>5.5</v>
      </c>
    </row>
    <row r="9" spans="1:9" ht="15.75" customHeight="1">
      <c r="A9" s="52" t="s">
        <v>136</v>
      </c>
      <c r="B9" s="13">
        <v>73</v>
      </c>
      <c r="C9" s="13">
        <v>6.9</v>
      </c>
      <c r="D9" s="13">
        <v>9.9</v>
      </c>
      <c r="E9" s="13">
        <v>10.3</v>
      </c>
      <c r="F9" s="13">
        <v>16.600000000000001</v>
      </c>
    </row>
  </sheetData>
  <mergeCells count="4">
    <mergeCell ref="A1:F1"/>
    <mergeCell ref="A2:F2"/>
    <mergeCell ref="A3:F3"/>
    <mergeCell ref="A4:F4"/>
  </mergeCells>
  <hyperlinks>
    <hyperlink ref="A4" r:id="rId1" xr:uid="{00000000-0004-0000-0600-000000000000}"/>
    <hyperlink ref="A3:F3" r:id="rId2" display="The data is mentioned in this article, and comes from comes from the Survey of Business Uncertainty, as gathered from the US Bureau of Labor Statistics." xr:uid="{F22DA797-3D19-2344-B684-9609E5E402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41F8E-DE07-1E4B-AE81-7B7784AA7DA8}">
  <dimension ref="A1:N33"/>
  <sheetViews>
    <sheetView workbookViewId="0"/>
  </sheetViews>
  <sheetFormatPr defaultColWidth="10.81640625" defaultRowHeight="15.25"/>
  <cols>
    <col min="1" max="6" width="10.81640625" style="1"/>
    <col min="7" max="7" width="77.1796875" style="1" bestFit="1" customWidth="1"/>
    <col min="8" max="8" width="9.6796875" style="1" bestFit="1" customWidth="1"/>
    <col min="9" max="14" width="12.31640625" style="1" bestFit="1" customWidth="1"/>
    <col min="15" max="16384" width="10.81640625" style="1"/>
  </cols>
  <sheetData>
    <row r="1" spans="1:14" ht="15.5">
      <c r="A1" s="56" t="s">
        <v>209</v>
      </c>
    </row>
    <row r="2" spans="1:14">
      <c r="H2" s="2" t="s">
        <v>153</v>
      </c>
      <c r="I2" s="2" t="s">
        <v>154</v>
      </c>
      <c r="J2" s="2" t="s">
        <v>155</v>
      </c>
      <c r="K2" s="2" t="s">
        <v>156</v>
      </c>
      <c r="L2" s="2" t="s">
        <v>157</v>
      </c>
      <c r="M2" s="2" t="s">
        <v>158</v>
      </c>
      <c r="N2" s="2" t="s">
        <v>159</v>
      </c>
    </row>
    <row r="3" spans="1:14">
      <c r="G3" s="3" t="s">
        <v>160</v>
      </c>
      <c r="H3" s="2">
        <v>6327</v>
      </c>
      <c r="I3" s="2">
        <v>690</v>
      </c>
      <c r="J3" s="2">
        <v>1422</v>
      </c>
      <c r="K3" s="2">
        <v>1303</v>
      </c>
      <c r="L3" s="2">
        <v>278</v>
      </c>
      <c r="M3" s="2">
        <v>1243</v>
      </c>
      <c r="N3" s="2">
        <v>1391</v>
      </c>
    </row>
    <row r="4" spans="1:14">
      <c r="G4" s="3" t="s">
        <v>161</v>
      </c>
      <c r="H4" s="2">
        <v>35.5</v>
      </c>
      <c r="I4" s="2">
        <v>28.2</v>
      </c>
      <c r="J4" s="2">
        <v>30.2</v>
      </c>
      <c r="K4" s="2">
        <v>40.700000000000003</v>
      </c>
      <c r="L4" s="2">
        <v>64.3</v>
      </c>
      <c r="M4" s="2">
        <v>37.799999999999997</v>
      </c>
      <c r="N4" s="2">
        <v>36.9</v>
      </c>
    </row>
    <row r="5" spans="1:14">
      <c r="G5" s="3" t="s">
        <v>162</v>
      </c>
      <c r="H5" s="2">
        <v>5.0999999999999996</v>
      </c>
      <c r="I5" s="2"/>
      <c r="J5" s="2"/>
      <c r="K5" s="2"/>
      <c r="L5" s="2"/>
      <c r="M5" s="2"/>
      <c r="N5" s="2"/>
    </row>
    <row r="6" spans="1:14">
      <c r="G6" s="3" t="s">
        <v>163</v>
      </c>
      <c r="H6" s="2">
        <v>6.4</v>
      </c>
      <c r="I6" s="2"/>
      <c r="J6" s="2"/>
      <c r="K6" s="2"/>
      <c r="L6" s="2"/>
      <c r="M6" s="2"/>
      <c r="N6" s="2"/>
    </row>
    <row r="7" spans="1:14">
      <c r="G7" s="3" t="s">
        <v>164</v>
      </c>
      <c r="H7" s="2">
        <v>7</v>
      </c>
      <c r="I7" s="2"/>
      <c r="J7" s="2"/>
      <c r="K7" s="2"/>
      <c r="L7" s="2"/>
      <c r="M7" s="2"/>
      <c r="N7" s="2"/>
    </row>
    <row r="8" spans="1:14">
      <c r="G8" s="3" t="s">
        <v>165</v>
      </c>
      <c r="H8" s="2">
        <v>7.1</v>
      </c>
      <c r="I8" s="2"/>
      <c r="J8" s="2"/>
      <c r="K8" s="2"/>
      <c r="L8" s="2"/>
      <c r="M8" s="2"/>
      <c r="N8" s="2"/>
    </row>
    <row r="9" spans="1:14">
      <c r="G9" s="3" t="s">
        <v>166</v>
      </c>
      <c r="H9" s="2">
        <v>10.8</v>
      </c>
      <c r="I9" s="2"/>
      <c r="J9" s="2"/>
      <c r="K9" s="2"/>
      <c r="L9" s="2"/>
      <c r="M9" s="2"/>
      <c r="N9" s="2"/>
    </row>
    <row r="10" spans="1:14">
      <c r="G10" s="4" t="s">
        <v>167</v>
      </c>
      <c r="H10" s="2">
        <v>13.1</v>
      </c>
      <c r="I10" s="2"/>
      <c r="J10" s="2"/>
      <c r="K10" s="2"/>
      <c r="L10" s="2"/>
      <c r="M10" s="2"/>
      <c r="N10" s="2"/>
    </row>
    <row r="11" spans="1:14">
      <c r="G11" s="4" t="s">
        <v>168</v>
      </c>
      <c r="H11" s="2">
        <v>6.2</v>
      </c>
      <c r="I11" s="2"/>
      <c r="J11" s="2"/>
      <c r="K11" s="2"/>
      <c r="L11" s="2"/>
      <c r="M11" s="2"/>
      <c r="N11" s="2"/>
    </row>
    <row r="12" spans="1:14">
      <c r="G12" s="4" t="s">
        <v>169</v>
      </c>
      <c r="H12" s="2">
        <v>14.4</v>
      </c>
      <c r="I12" s="2"/>
      <c r="J12" s="2"/>
      <c r="K12" s="2"/>
      <c r="L12" s="2"/>
      <c r="M12" s="2"/>
      <c r="N12" s="2"/>
    </row>
    <row r="13" spans="1:14">
      <c r="G13" s="4" t="s">
        <v>170</v>
      </c>
      <c r="H13" s="2">
        <v>6.3</v>
      </c>
      <c r="I13" s="2"/>
      <c r="J13" s="2"/>
      <c r="K13" s="2"/>
      <c r="L13" s="2"/>
      <c r="M13" s="2"/>
      <c r="N13" s="2"/>
    </row>
    <row r="14" spans="1:14">
      <c r="G14" s="4" t="s">
        <v>171</v>
      </c>
      <c r="H14" s="2">
        <v>5.0999999999999996</v>
      </c>
      <c r="I14" s="2"/>
      <c r="J14" s="2"/>
      <c r="K14" s="2"/>
      <c r="L14" s="2"/>
      <c r="M14" s="2"/>
      <c r="N14" s="2"/>
    </row>
    <row r="15" spans="1:14">
      <c r="G15" s="4" t="s">
        <v>172</v>
      </c>
      <c r="H15" s="2">
        <v>10.1</v>
      </c>
      <c r="I15" s="2"/>
      <c r="J15" s="2"/>
      <c r="K15" s="2"/>
      <c r="L15" s="2"/>
      <c r="M15" s="2"/>
      <c r="N15" s="2"/>
    </row>
    <row r="16" spans="1:14">
      <c r="G16" s="4" t="s">
        <v>173</v>
      </c>
      <c r="H16" s="2">
        <v>6.5</v>
      </c>
      <c r="I16" s="2"/>
      <c r="J16" s="2"/>
      <c r="K16" s="2"/>
      <c r="L16" s="2"/>
      <c r="M16" s="2"/>
      <c r="N16" s="2"/>
    </row>
    <row r="17" spans="7:14">
      <c r="G17" s="3" t="s">
        <v>174</v>
      </c>
      <c r="H17" s="2">
        <v>1.9</v>
      </c>
      <c r="I17" s="2"/>
      <c r="J17" s="2"/>
      <c r="K17" s="2"/>
      <c r="L17" s="2"/>
      <c r="M17" s="2"/>
      <c r="N17" s="2"/>
    </row>
    <row r="18" spans="7:14">
      <c r="G18" s="3" t="s">
        <v>175</v>
      </c>
      <c r="H18" s="2">
        <v>49670</v>
      </c>
      <c r="I18" s="2">
        <v>27941</v>
      </c>
      <c r="J18" s="2">
        <v>30929</v>
      </c>
      <c r="K18" s="2">
        <v>47163</v>
      </c>
      <c r="L18" s="2">
        <v>34273</v>
      </c>
      <c r="M18" s="2">
        <v>30425</v>
      </c>
      <c r="N18" s="2">
        <v>46659</v>
      </c>
    </row>
    <row r="19" spans="7:14">
      <c r="G19" s="3" t="s">
        <v>176</v>
      </c>
      <c r="H19" s="2">
        <v>80.2</v>
      </c>
      <c r="I19" s="2"/>
      <c r="J19" s="2"/>
      <c r="K19" s="2"/>
      <c r="L19" s="2"/>
      <c r="M19" s="2"/>
      <c r="N19" s="2"/>
    </row>
    <row r="20" spans="7:14">
      <c r="G20" s="3" t="s">
        <v>177</v>
      </c>
      <c r="H20" s="2">
        <v>20.100000000000001</v>
      </c>
      <c r="I20" s="2"/>
      <c r="J20" s="2"/>
      <c r="K20" s="2"/>
      <c r="L20" s="2"/>
      <c r="M20" s="2"/>
      <c r="N20" s="2"/>
    </row>
    <row r="21" spans="7:14">
      <c r="G21" s="3" t="s">
        <v>178</v>
      </c>
      <c r="H21" s="2">
        <v>3</v>
      </c>
      <c r="I21" s="2"/>
      <c r="J21" s="2"/>
      <c r="K21" s="2"/>
      <c r="L21" s="2"/>
      <c r="M21" s="2"/>
      <c r="N21" s="2"/>
    </row>
    <row r="22" spans="7:14">
      <c r="G22" s="3" t="s">
        <v>179</v>
      </c>
      <c r="H22" s="2">
        <f>SUM(I22:N22)</f>
        <v>2878</v>
      </c>
      <c r="I22" s="2">
        <v>254</v>
      </c>
      <c r="J22" s="2">
        <v>686</v>
      </c>
      <c r="K22" s="2">
        <v>514</v>
      </c>
      <c r="L22" s="2">
        <v>248</v>
      </c>
      <c r="M22" s="2">
        <v>613</v>
      </c>
      <c r="N22" s="2">
        <v>563</v>
      </c>
    </row>
    <row r="23" spans="7:14">
      <c r="G23" s="3" t="s">
        <v>180</v>
      </c>
      <c r="H23" s="2">
        <f t="shared" ref="H23:H24" si="0">SUM(I23:N23)</f>
        <v>1688</v>
      </c>
      <c r="I23" s="5">
        <v>155</v>
      </c>
      <c r="J23" s="2">
        <v>310</v>
      </c>
      <c r="K23" s="2">
        <v>263</v>
      </c>
      <c r="L23" s="2">
        <v>94</v>
      </c>
      <c r="M23" s="2">
        <v>428</v>
      </c>
      <c r="N23" s="2">
        <v>438</v>
      </c>
    </row>
    <row r="24" spans="7:14">
      <c r="G24" s="3" t="s">
        <v>181</v>
      </c>
      <c r="H24" s="2">
        <f t="shared" si="0"/>
        <v>1190</v>
      </c>
      <c r="I24" s="2">
        <v>99</v>
      </c>
      <c r="J24" s="2">
        <v>376</v>
      </c>
      <c r="K24" s="2">
        <v>251</v>
      </c>
      <c r="L24" s="2">
        <v>154</v>
      </c>
      <c r="M24" s="2">
        <v>185</v>
      </c>
      <c r="N24" s="2">
        <v>125</v>
      </c>
    </row>
    <row r="25" spans="7:14">
      <c r="G25" s="3" t="s">
        <v>182</v>
      </c>
      <c r="H25" s="2">
        <v>6.83</v>
      </c>
      <c r="I25" s="2">
        <v>1.21</v>
      </c>
      <c r="J25" s="2">
        <v>0.8</v>
      </c>
      <c r="K25" s="2">
        <v>0.67</v>
      </c>
      <c r="L25" s="2">
        <v>1.65</v>
      </c>
      <c r="M25" s="2">
        <v>0.36</v>
      </c>
      <c r="N25" s="2">
        <v>2.14</v>
      </c>
    </row>
    <row r="26" spans="7:14">
      <c r="G26" s="3" t="s">
        <v>183</v>
      </c>
      <c r="H26" s="2">
        <v>64.3</v>
      </c>
      <c r="I26" s="2"/>
      <c r="J26" s="2"/>
      <c r="K26" s="2"/>
      <c r="L26" s="2"/>
      <c r="M26" s="2"/>
      <c r="N26" s="2"/>
    </row>
    <row r="27" spans="7:14">
      <c r="G27" s="3" t="s">
        <v>184</v>
      </c>
      <c r="H27" s="2">
        <v>49.5</v>
      </c>
      <c r="I27" s="2"/>
      <c r="J27" s="2"/>
      <c r="K27" s="2"/>
      <c r="L27" s="2"/>
      <c r="M27" s="2"/>
      <c r="N27" s="2"/>
    </row>
    <row r="28" spans="7:14">
      <c r="G28" s="3" t="s">
        <v>185</v>
      </c>
      <c r="H28" s="2">
        <v>69.2</v>
      </c>
      <c r="I28" s="2"/>
      <c r="J28" s="2"/>
      <c r="K28" s="2"/>
      <c r="L28" s="2"/>
      <c r="M28" s="2"/>
      <c r="N28" s="2"/>
    </row>
    <row r="29" spans="7:14">
      <c r="G29" s="3" t="s">
        <v>186</v>
      </c>
      <c r="H29" s="2">
        <v>4.3</v>
      </c>
      <c r="I29" s="2"/>
      <c r="J29" s="2"/>
      <c r="K29" s="2"/>
      <c r="L29" s="2"/>
      <c r="M29" s="2"/>
      <c r="N29" s="2"/>
    </row>
    <row r="32" spans="7:14" ht="61">
      <c r="G32" s="65" t="s">
        <v>234</v>
      </c>
    </row>
    <row r="33" spans="7:7">
      <c r="G33" s="66" t="s">
        <v>235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D2907-1A5A-B34C-8CAE-C6153127BC38}">
  <dimension ref="A1:O33"/>
  <sheetViews>
    <sheetView workbookViewId="0"/>
  </sheetViews>
  <sheetFormatPr defaultColWidth="10.81640625" defaultRowHeight="15.25"/>
  <cols>
    <col min="1" max="6" width="10.81640625" style="1"/>
    <col min="7" max="7" width="77.1796875" style="1" bestFit="1" customWidth="1"/>
    <col min="8" max="8" width="9.6796875" style="1" bestFit="1" customWidth="1"/>
    <col min="9" max="15" width="12.31640625" style="1" bestFit="1" customWidth="1"/>
    <col min="16" max="16384" width="10.81640625" style="1"/>
  </cols>
  <sheetData>
    <row r="1" spans="1:15" ht="15.5">
      <c r="A1" s="57" t="s">
        <v>208</v>
      </c>
    </row>
    <row r="2" spans="1:15">
      <c r="H2" s="2" t="s">
        <v>187</v>
      </c>
      <c r="I2" s="2" t="s">
        <v>154</v>
      </c>
      <c r="J2" s="2" t="s">
        <v>155</v>
      </c>
      <c r="K2" s="2" t="s">
        <v>156</v>
      </c>
      <c r="L2" s="2" t="s">
        <v>157</v>
      </c>
      <c r="M2" s="2" t="s">
        <v>158</v>
      </c>
      <c r="N2" s="2" t="s">
        <v>159</v>
      </c>
      <c r="O2" s="2" t="s">
        <v>188</v>
      </c>
    </row>
    <row r="3" spans="1:15">
      <c r="G3" s="3" t="s">
        <v>160</v>
      </c>
      <c r="H3" s="2">
        <v>15054</v>
      </c>
      <c r="I3" s="2">
        <v>3873</v>
      </c>
      <c r="J3" s="2">
        <v>2114</v>
      </c>
      <c r="K3" s="2">
        <v>1253</v>
      </c>
      <c r="L3" s="2">
        <v>1129</v>
      </c>
      <c r="M3" s="2">
        <v>2493</v>
      </c>
      <c r="N3" s="2">
        <v>2398</v>
      </c>
      <c r="O3" s="2">
        <v>1794</v>
      </c>
    </row>
    <row r="4" spans="1:15">
      <c r="G4" s="3" t="s">
        <v>161</v>
      </c>
      <c r="H4" s="2">
        <v>46.6</v>
      </c>
      <c r="I4" s="2">
        <v>47.7</v>
      </c>
      <c r="J4" s="2">
        <v>48.2</v>
      </c>
      <c r="K4" s="2">
        <v>59</v>
      </c>
      <c r="L4" s="2">
        <v>36.299999999999997</v>
      </c>
      <c r="M4" s="2">
        <v>55.1</v>
      </c>
      <c r="N4" s="2">
        <v>45.5</v>
      </c>
      <c r="O4" s="2">
        <v>53.8</v>
      </c>
    </row>
    <row r="5" spans="1:15">
      <c r="G5" s="3" t="s">
        <v>162</v>
      </c>
      <c r="H5" s="2">
        <v>5.21</v>
      </c>
      <c r="I5" s="2"/>
      <c r="J5" s="2"/>
      <c r="K5" s="2"/>
      <c r="L5" s="2"/>
      <c r="M5" s="2"/>
      <c r="N5" s="2"/>
      <c r="O5" s="2"/>
    </row>
    <row r="6" spans="1:15">
      <c r="G6" s="3" t="s">
        <v>163</v>
      </c>
      <c r="H6" s="2">
        <v>5.03</v>
      </c>
      <c r="I6" s="2"/>
      <c r="J6" s="2"/>
      <c r="K6" s="2"/>
      <c r="L6" s="2"/>
      <c r="M6" s="2"/>
      <c r="N6" s="2"/>
      <c r="O6" s="2"/>
    </row>
    <row r="7" spans="1:15">
      <c r="G7" s="3" t="s">
        <v>164</v>
      </c>
      <c r="H7" s="2">
        <v>6.84</v>
      </c>
      <c r="I7" s="2"/>
      <c r="J7" s="2"/>
      <c r="K7" s="2"/>
      <c r="L7" s="2"/>
      <c r="M7" s="2"/>
      <c r="N7" s="2"/>
      <c r="O7" s="2"/>
    </row>
    <row r="8" spans="1:15">
      <c r="G8" s="3" t="s">
        <v>165</v>
      </c>
      <c r="H8" s="2">
        <v>5.89</v>
      </c>
      <c r="I8" s="2"/>
      <c r="J8" s="2"/>
      <c r="K8" s="2"/>
      <c r="L8" s="2"/>
      <c r="M8" s="2"/>
      <c r="N8" s="2"/>
      <c r="O8" s="2"/>
    </row>
    <row r="9" spans="1:15">
      <c r="G9" s="3" t="s">
        <v>166</v>
      </c>
      <c r="H9" s="2">
        <v>5.15</v>
      </c>
      <c r="I9" s="2"/>
      <c r="J9" s="2"/>
      <c r="K9" s="2"/>
      <c r="L9" s="2"/>
      <c r="M9" s="2"/>
      <c r="N9" s="2"/>
      <c r="O9" s="2"/>
    </row>
    <row r="10" spans="1:15">
      <c r="G10" s="4" t="s">
        <v>167</v>
      </c>
      <c r="H10" s="2">
        <v>9.3699999999999992</v>
      </c>
      <c r="I10" s="2"/>
      <c r="J10" s="2"/>
      <c r="K10" s="2"/>
      <c r="L10" s="2"/>
      <c r="M10" s="2"/>
      <c r="N10" s="2"/>
      <c r="O10" s="2"/>
    </row>
    <row r="11" spans="1:15">
      <c r="G11" s="4" t="s">
        <v>168</v>
      </c>
      <c r="H11" s="2">
        <v>11.34</v>
      </c>
      <c r="I11" s="2"/>
      <c r="J11" s="2"/>
      <c r="K11" s="2"/>
      <c r="L11" s="2"/>
      <c r="M11" s="2"/>
      <c r="N11" s="2"/>
      <c r="O11" s="2"/>
    </row>
    <row r="12" spans="1:15">
      <c r="G12" s="4" t="s">
        <v>169</v>
      </c>
      <c r="H12" s="2">
        <v>11.58</v>
      </c>
      <c r="I12" s="2"/>
      <c r="J12" s="2"/>
      <c r="K12" s="2"/>
      <c r="L12" s="2"/>
      <c r="M12" s="2"/>
      <c r="N12" s="2"/>
      <c r="O12" s="2"/>
    </row>
    <row r="13" spans="1:15">
      <c r="G13" s="4" t="s">
        <v>170</v>
      </c>
      <c r="H13" s="2">
        <v>6.48</v>
      </c>
      <c r="I13" s="2"/>
      <c r="J13" s="2"/>
      <c r="K13" s="2"/>
      <c r="L13" s="2"/>
      <c r="M13" s="2"/>
      <c r="N13" s="2"/>
      <c r="O13" s="2"/>
    </row>
    <row r="14" spans="1:15">
      <c r="G14" s="4" t="s">
        <v>171</v>
      </c>
      <c r="H14" s="2">
        <v>8.4</v>
      </c>
      <c r="I14" s="2"/>
      <c r="J14" s="2"/>
      <c r="K14" s="2"/>
      <c r="L14" s="2"/>
      <c r="M14" s="2"/>
      <c r="N14" s="2"/>
      <c r="O14" s="2"/>
    </row>
    <row r="15" spans="1:15">
      <c r="G15" s="4" t="s">
        <v>172</v>
      </c>
      <c r="H15" s="2">
        <v>13.45</v>
      </c>
      <c r="I15" s="2"/>
      <c r="J15" s="2"/>
      <c r="K15" s="2"/>
      <c r="L15" s="2"/>
      <c r="M15" s="2"/>
      <c r="N15" s="2"/>
      <c r="O15" s="2"/>
    </row>
    <row r="16" spans="1:15">
      <c r="G16" s="4" t="s">
        <v>173</v>
      </c>
      <c r="H16" s="2">
        <v>7.68</v>
      </c>
      <c r="I16" s="2"/>
      <c r="J16" s="2"/>
      <c r="K16" s="2"/>
      <c r="L16" s="2"/>
      <c r="M16" s="2"/>
      <c r="N16" s="2"/>
      <c r="O16" s="2"/>
    </row>
    <row r="17" spans="7:15">
      <c r="G17" s="3" t="s">
        <v>174</v>
      </c>
      <c r="H17" s="2">
        <v>3.58</v>
      </c>
      <c r="I17" s="2"/>
      <c r="J17" s="2"/>
      <c r="K17" s="2"/>
      <c r="L17" s="2"/>
      <c r="M17" s="2"/>
      <c r="N17" s="2"/>
      <c r="O17" s="2"/>
    </row>
    <row r="18" spans="7:15">
      <c r="G18" s="3" t="s">
        <v>175</v>
      </c>
      <c r="H18" s="2">
        <v>117688</v>
      </c>
      <c r="I18" s="2">
        <v>99652</v>
      </c>
      <c r="J18" s="2">
        <v>134375</v>
      </c>
      <c r="K18" s="2">
        <v>173188</v>
      </c>
      <c r="L18" s="2">
        <v>112306</v>
      </c>
      <c r="M18" s="2">
        <v>108056</v>
      </c>
      <c r="N18" s="2">
        <v>147500</v>
      </c>
      <c r="O18" s="2">
        <v>132045</v>
      </c>
    </row>
    <row r="19" spans="7:15">
      <c r="G19" s="3" t="s">
        <v>176</v>
      </c>
      <c r="H19" s="2">
        <v>89.3</v>
      </c>
      <c r="I19" s="2"/>
      <c r="J19" s="2"/>
      <c r="K19" s="2"/>
      <c r="L19" s="2"/>
      <c r="M19" s="2"/>
      <c r="N19" s="2"/>
      <c r="O19" s="2"/>
    </row>
    <row r="20" spans="7:15">
      <c r="G20" s="3" t="s">
        <v>177</v>
      </c>
      <c r="H20" s="2">
        <v>4.2</v>
      </c>
      <c r="I20" s="2">
        <v>5</v>
      </c>
      <c r="J20" s="2">
        <v>0.41</v>
      </c>
      <c r="K20" s="2">
        <v>3.83</v>
      </c>
      <c r="L20" s="2">
        <v>6.73</v>
      </c>
      <c r="M20" s="2">
        <v>2.4500000000000002</v>
      </c>
      <c r="N20" s="2">
        <v>3.4</v>
      </c>
      <c r="O20" s="6">
        <v>0.78</v>
      </c>
    </row>
    <row r="21" spans="7:15">
      <c r="G21" s="3" t="s">
        <v>178</v>
      </c>
      <c r="H21" s="2">
        <v>3</v>
      </c>
      <c r="I21" s="2">
        <v>2</v>
      </c>
      <c r="J21" s="2">
        <v>2</v>
      </c>
      <c r="K21" s="2">
        <v>3.09</v>
      </c>
      <c r="L21" s="2">
        <v>2</v>
      </c>
      <c r="M21" s="2">
        <v>1.59</v>
      </c>
      <c r="N21" s="2">
        <v>1.59</v>
      </c>
      <c r="O21" s="2">
        <v>1.59</v>
      </c>
    </row>
    <row r="22" spans="7:15">
      <c r="G22" s="3" t="s">
        <v>179</v>
      </c>
      <c r="H22" s="2">
        <v>5248</v>
      </c>
      <c r="I22" s="2">
        <v>836</v>
      </c>
      <c r="J22" s="2">
        <v>793</v>
      </c>
      <c r="K22" s="2">
        <v>539</v>
      </c>
      <c r="L22" s="2">
        <v>425</v>
      </c>
      <c r="M22" s="2">
        <v>1164</v>
      </c>
      <c r="N22" s="2">
        <v>800</v>
      </c>
      <c r="O22" s="2">
        <v>691</v>
      </c>
    </row>
    <row r="23" spans="7:15">
      <c r="G23" s="3" t="s">
        <v>180</v>
      </c>
      <c r="H23" s="2">
        <v>3977</v>
      </c>
      <c r="I23" s="5">
        <v>590</v>
      </c>
      <c r="J23" s="5">
        <v>648</v>
      </c>
      <c r="K23" s="5">
        <v>452</v>
      </c>
      <c r="L23" s="5">
        <v>311</v>
      </c>
      <c r="M23" s="5">
        <v>710</v>
      </c>
      <c r="N23" s="5">
        <v>696</v>
      </c>
      <c r="O23" s="5">
        <v>570</v>
      </c>
    </row>
    <row r="24" spans="7:15">
      <c r="G24" s="3" t="s">
        <v>181</v>
      </c>
      <c r="H24" s="2">
        <f>H22-H23</f>
        <v>1271</v>
      </c>
      <c r="I24" s="2">
        <f>I22-I23</f>
        <v>246</v>
      </c>
      <c r="J24" s="2">
        <f>J22-J23</f>
        <v>145</v>
      </c>
      <c r="K24" s="2">
        <f t="shared" ref="K24:O24" si="0">K22-K23</f>
        <v>87</v>
      </c>
      <c r="L24" s="2">
        <f t="shared" si="0"/>
        <v>114</v>
      </c>
      <c r="M24" s="2">
        <f t="shared" si="0"/>
        <v>454</v>
      </c>
      <c r="N24" s="2">
        <f t="shared" si="0"/>
        <v>104</v>
      </c>
      <c r="O24" s="2">
        <f t="shared" si="0"/>
        <v>121</v>
      </c>
    </row>
    <row r="25" spans="7:15">
      <c r="G25" s="3" t="s">
        <v>182</v>
      </c>
      <c r="H25" s="2">
        <v>33.64</v>
      </c>
      <c r="I25" s="6">
        <f>12/SUM(12,15,16,8,26,13,26)*H25</f>
        <v>3.48</v>
      </c>
      <c r="J25" s="6">
        <f>15/SUM(12,15,16,8,26,13,26)*H25</f>
        <v>4.3500000000000005</v>
      </c>
      <c r="K25" s="6">
        <f>16/SUM(12,15,16,8,26,13,26)*H25</f>
        <v>4.6399999999999997</v>
      </c>
      <c r="L25" s="2">
        <f>8/SUM(12,15,16,8,26,13,26)*H25</f>
        <v>2.3199999999999998</v>
      </c>
      <c r="M25" s="2">
        <f>26/SUM(12,15,16,8,26,13,26)*H25</f>
        <v>7.54</v>
      </c>
      <c r="N25" s="2">
        <f>13/SUM(12,15,16,8,26,13,26)*H25</f>
        <v>3.77</v>
      </c>
      <c r="O25" s="2">
        <f>26/SUM(12,15,16,8,26,13,26)*H25</f>
        <v>7.54</v>
      </c>
    </row>
    <row r="26" spans="7:15">
      <c r="G26" s="3" t="s">
        <v>183</v>
      </c>
      <c r="H26" s="2">
        <v>92.77</v>
      </c>
      <c r="I26" s="2"/>
      <c r="J26" s="2"/>
      <c r="K26" s="2"/>
      <c r="L26" s="2"/>
      <c r="M26" s="2"/>
      <c r="N26" s="2"/>
      <c r="O26" s="2"/>
    </row>
    <row r="27" spans="7:15">
      <c r="G27" s="3" t="s">
        <v>184</v>
      </c>
      <c r="H27" s="2">
        <v>4.41</v>
      </c>
      <c r="I27" s="2"/>
      <c r="J27" s="2"/>
      <c r="K27" s="2"/>
      <c r="L27" s="2"/>
      <c r="M27" s="2"/>
      <c r="N27" s="2"/>
      <c r="O27" s="2"/>
    </row>
    <row r="28" spans="7:15">
      <c r="G28" s="3" t="s">
        <v>185</v>
      </c>
      <c r="H28" s="2">
        <v>86.21</v>
      </c>
      <c r="I28" s="2"/>
      <c r="J28" s="2"/>
      <c r="K28" s="2"/>
      <c r="L28" s="2"/>
      <c r="M28" s="2"/>
      <c r="N28" s="2"/>
      <c r="O28" s="2"/>
    </row>
    <row r="29" spans="7:15">
      <c r="G29" s="3" t="s">
        <v>186</v>
      </c>
      <c r="H29" s="2">
        <v>1.22</v>
      </c>
      <c r="I29" s="2"/>
      <c r="J29" s="2"/>
      <c r="K29" s="2"/>
      <c r="L29" s="2"/>
      <c r="M29" s="2"/>
      <c r="N29" s="2"/>
      <c r="O29" s="2"/>
    </row>
    <row r="32" spans="7:15" ht="61">
      <c r="G32" s="65" t="s">
        <v>234</v>
      </c>
    </row>
    <row r="33" spans="7:7">
      <c r="G33" s="66" t="s">
        <v>235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D1</vt:lpstr>
      <vt:lpstr>D2</vt:lpstr>
      <vt:lpstr>D3</vt:lpstr>
      <vt:lpstr>D4</vt:lpstr>
      <vt:lpstr>D5</vt:lpstr>
      <vt:lpstr>D6</vt:lpstr>
      <vt:lpstr>D7</vt:lpstr>
      <vt:lpstr>D8 Region A</vt:lpstr>
      <vt:lpstr>D8 Region B</vt:lpstr>
      <vt:lpstr>D8 Region C</vt:lpstr>
      <vt:lpstr>D9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Adrianne P. Ali</dc:creator>
  <cp:lastModifiedBy>Adrianne P. Ali</cp:lastModifiedBy>
  <dcterms:created xsi:type="dcterms:W3CDTF">2021-02-17T20:45:59Z</dcterms:created>
  <dcterms:modified xsi:type="dcterms:W3CDTF">2021-02-24T16:06:04Z</dcterms:modified>
</cp:coreProperties>
</file>